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00"/>
  </bookViews>
  <sheets>
    <sheet name="2019 - 2022" sheetId="10" r:id="rId1"/>
  </sheets>
  <definedNames>
    <definedName name="_xlnm.Print_Titles" localSheetId="0">'2019 - 2022'!$7:$9</definedName>
    <definedName name="_xlnm.Print_Area" localSheetId="0">'2019 - 2022'!$B$1:$P$189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6" i="10" l="1"/>
  <c r="N25" i="10"/>
  <c r="N117" i="10"/>
  <c r="N116" i="10"/>
  <c r="N114" i="10"/>
  <c r="N113" i="10"/>
  <c r="N112" i="10"/>
  <c r="N128" i="10"/>
  <c r="N115" i="10" l="1"/>
  <c r="M178" i="10"/>
  <c r="G183" i="10"/>
  <c r="G182" i="10"/>
  <c r="G181" i="10"/>
  <c r="G180" i="10"/>
  <c r="G179" i="10"/>
  <c r="P178" i="10"/>
  <c r="O178" i="10"/>
  <c r="N178" i="10"/>
  <c r="L178" i="10"/>
  <c r="K178" i="10"/>
  <c r="J178" i="10"/>
  <c r="I178" i="10"/>
  <c r="H178" i="10"/>
  <c r="G178" i="10" l="1"/>
  <c r="N18" i="10"/>
  <c r="N20" i="10"/>
  <c r="N106" i="10" l="1"/>
  <c r="G111" i="10"/>
  <c r="G110" i="10"/>
  <c r="G109" i="10"/>
  <c r="G108" i="10"/>
  <c r="G107" i="10"/>
  <c r="P106" i="10"/>
  <c r="O106" i="10"/>
  <c r="L106" i="10"/>
  <c r="K106" i="10"/>
  <c r="J106" i="10"/>
  <c r="I106" i="10"/>
  <c r="H106" i="10"/>
  <c r="G106" i="10" l="1"/>
  <c r="M172" i="10"/>
  <c r="M170" i="10"/>
  <c r="M166" i="10" s="1"/>
  <c r="M160" i="10"/>
  <c r="M154" i="10"/>
  <c r="M148" i="10"/>
  <c r="M142" i="10"/>
  <c r="M136" i="10"/>
  <c r="M130" i="10"/>
  <c r="M126" i="10"/>
  <c r="M125" i="10"/>
  <c r="M118" i="10"/>
  <c r="M117" i="10"/>
  <c r="M115" i="10"/>
  <c r="M113" i="10"/>
  <c r="M100" i="10"/>
  <c r="M94" i="10"/>
  <c r="M88" i="10"/>
  <c r="M82" i="10"/>
  <c r="M76" i="10"/>
  <c r="M70" i="10"/>
  <c r="M64" i="10"/>
  <c r="M58" i="10"/>
  <c r="M52" i="10"/>
  <c r="M50" i="10"/>
  <c r="M46" i="10" s="1"/>
  <c r="M40" i="10"/>
  <c r="M34" i="10"/>
  <c r="M28" i="10"/>
  <c r="M26" i="10"/>
  <c r="M22" i="10" s="1"/>
  <c r="M21" i="10"/>
  <c r="M19" i="10"/>
  <c r="M18" i="10"/>
  <c r="M17" i="10"/>
  <c r="M10" i="10"/>
  <c r="M187" i="10" l="1"/>
  <c r="M189" i="10"/>
  <c r="M185" i="10"/>
  <c r="M16" i="10"/>
  <c r="M124" i="10"/>
  <c r="M112" i="10" s="1"/>
  <c r="M20" i="10"/>
  <c r="M114" i="10"/>
  <c r="M186" i="10" s="1"/>
  <c r="M116" i="10"/>
  <c r="G23" i="10"/>
  <c r="G24" i="10"/>
  <c r="G25" i="10"/>
  <c r="G26" i="10"/>
  <c r="G27" i="10"/>
  <c r="G31" i="10"/>
  <c r="G32" i="10"/>
  <c r="G33" i="10"/>
  <c r="G37" i="10"/>
  <c r="G39" i="10"/>
  <c r="G41" i="10"/>
  <c r="G42" i="10"/>
  <c r="G43" i="10"/>
  <c r="G45" i="10"/>
  <c r="G47" i="10"/>
  <c r="G48" i="10"/>
  <c r="G49" i="10"/>
  <c r="G51" i="10"/>
  <c r="G53" i="10"/>
  <c r="G54" i="10"/>
  <c r="G55" i="10"/>
  <c r="G57" i="10"/>
  <c r="G59" i="10"/>
  <c r="G60" i="10"/>
  <c r="G61" i="10"/>
  <c r="G63" i="10"/>
  <c r="G65" i="10"/>
  <c r="G66" i="10"/>
  <c r="G67" i="10"/>
  <c r="G69" i="10"/>
  <c r="G71" i="10"/>
  <c r="G72" i="10"/>
  <c r="G73" i="10"/>
  <c r="G75" i="10"/>
  <c r="G77" i="10"/>
  <c r="G78" i="10"/>
  <c r="G79" i="10"/>
  <c r="G81" i="10"/>
  <c r="G83" i="10"/>
  <c r="G84" i="10"/>
  <c r="G85" i="10"/>
  <c r="G87" i="10"/>
  <c r="G89" i="10"/>
  <c r="G91" i="10"/>
  <c r="G93" i="10"/>
  <c r="G95" i="10"/>
  <c r="G96" i="10"/>
  <c r="G97" i="10"/>
  <c r="G98" i="10"/>
  <c r="G99" i="10"/>
  <c r="G101" i="10"/>
  <c r="G102" i="10"/>
  <c r="G103" i="10"/>
  <c r="G105" i="10"/>
  <c r="G119" i="10"/>
  <c r="G120" i="10"/>
  <c r="G121" i="10"/>
  <c r="G122" i="10"/>
  <c r="G123" i="10"/>
  <c r="G129" i="10"/>
  <c r="G133" i="10"/>
  <c r="G135" i="10"/>
  <c r="G137" i="10"/>
  <c r="G138" i="10"/>
  <c r="G139" i="10"/>
  <c r="G141" i="10"/>
  <c r="G143" i="10"/>
  <c r="G144" i="10"/>
  <c r="G145" i="10"/>
  <c r="G146" i="10"/>
  <c r="G147" i="10"/>
  <c r="G151" i="10"/>
  <c r="G152" i="10"/>
  <c r="G153" i="10"/>
  <c r="G157" i="10"/>
  <c r="G158" i="10"/>
  <c r="G159" i="10"/>
  <c r="G161" i="10"/>
  <c r="G162" i="10"/>
  <c r="G163" i="10"/>
  <c r="G164" i="10"/>
  <c r="G165" i="10"/>
  <c r="G167" i="10"/>
  <c r="G168" i="10"/>
  <c r="G170" i="10"/>
  <c r="G171" i="10"/>
  <c r="G173" i="10"/>
  <c r="G174" i="10"/>
  <c r="G175" i="10"/>
  <c r="G176" i="10"/>
  <c r="G177" i="10"/>
  <c r="M184" i="10" l="1"/>
  <c r="M188" i="10"/>
  <c r="O172" i="10"/>
  <c r="O166" i="10"/>
  <c r="O160" i="10"/>
  <c r="O154" i="10"/>
  <c r="O148" i="10"/>
  <c r="O142" i="10"/>
  <c r="O136" i="10"/>
  <c r="O130" i="10"/>
  <c r="O124" i="10"/>
  <c r="O118" i="10"/>
  <c r="O117" i="10"/>
  <c r="O116" i="10"/>
  <c r="O115" i="10"/>
  <c r="O114" i="10"/>
  <c r="O186" i="10" s="1"/>
  <c r="O113" i="10"/>
  <c r="O100" i="10"/>
  <c r="O94" i="10"/>
  <c r="O88" i="10"/>
  <c r="O82" i="10"/>
  <c r="O76" i="10"/>
  <c r="O70" i="10"/>
  <c r="O64" i="10"/>
  <c r="O58" i="10"/>
  <c r="O52" i="10"/>
  <c r="O46" i="10"/>
  <c r="O40" i="10"/>
  <c r="O34" i="10"/>
  <c r="O28" i="10"/>
  <c r="O22" i="10"/>
  <c r="O21" i="10"/>
  <c r="O20" i="10"/>
  <c r="O19" i="10"/>
  <c r="O18" i="10"/>
  <c r="O17" i="10"/>
  <c r="O10" i="10"/>
  <c r="O185" i="10" l="1"/>
  <c r="O189" i="10"/>
  <c r="O112" i="10"/>
  <c r="O187" i="10"/>
  <c r="O16" i="10"/>
  <c r="O188" i="10"/>
  <c r="N124" i="10"/>
  <c r="O184" i="10" l="1"/>
  <c r="J17" i="10"/>
  <c r="K17" i="10"/>
  <c r="N17" i="10"/>
  <c r="P17" i="10"/>
  <c r="J18" i="10"/>
  <c r="K18" i="10"/>
  <c r="P18" i="10"/>
  <c r="I19" i="10"/>
  <c r="J19" i="10"/>
  <c r="K19" i="10"/>
  <c r="L19" i="10"/>
  <c r="N19" i="10"/>
  <c r="P19" i="10"/>
  <c r="P20" i="10"/>
  <c r="I21" i="10"/>
  <c r="J21" i="10"/>
  <c r="K21" i="10"/>
  <c r="L21" i="10"/>
  <c r="N21" i="10"/>
  <c r="P21" i="10"/>
  <c r="H18" i="10"/>
  <c r="H19" i="10"/>
  <c r="H21" i="10"/>
  <c r="J113" i="10"/>
  <c r="P113" i="10"/>
  <c r="J114" i="10"/>
  <c r="P114" i="10"/>
  <c r="I115" i="10"/>
  <c r="K115" i="10"/>
  <c r="P115" i="10"/>
  <c r="P116" i="10"/>
  <c r="I117" i="10"/>
  <c r="J117" i="10"/>
  <c r="K117" i="10"/>
  <c r="L117" i="10"/>
  <c r="P117" i="10"/>
  <c r="H117" i="10"/>
  <c r="H114" i="10"/>
  <c r="H115" i="10"/>
  <c r="I22" i="10"/>
  <c r="J22" i="10"/>
  <c r="K22" i="10"/>
  <c r="L22" i="10"/>
  <c r="N22" i="10"/>
  <c r="P22" i="10"/>
  <c r="H22" i="10"/>
  <c r="I28" i="10"/>
  <c r="J28" i="10"/>
  <c r="K28" i="10"/>
  <c r="N28" i="10"/>
  <c r="P28" i="10"/>
  <c r="H28" i="10"/>
  <c r="J34" i="10"/>
  <c r="N34" i="10"/>
  <c r="P34" i="10"/>
  <c r="I40" i="10"/>
  <c r="J40" i="10"/>
  <c r="L40" i="10"/>
  <c r="N40" i="10"/>
  <c r="P40" i="10"/>
  <c r="H40" i="10"/>
  <c r="I46" i="10"/>
  <c r="J46" i="10"/>
  <c r="L46" i="10"/>
  <c r="N46" i="10"/>
  <c r="P46" i="10"/>
  <c r="K52" i="10"/>
  <c r="L52" i="10"/>
  <c r="N52" i="10"/>
  <c r="P52" i="10"/>
  <c r="K58" i="10"/>
  <c r="L58" i="10"/>
  <c r="N58" i="10"/>
  <c r="P58" i="10"/>
  <c r="H58" i="10"/>
  <c r="I64" i="10"/>
  <c r="L64" i="10"/>
  <c r="N64" i="10"/>
  <c r="P64" i="10"/>
  <c r="H64" i="10"/>
  <c r="I70" i="10"/>
  <c r="J70" i="10"/>
  <c r="N70" i="10"/>
  <c r="P70" i="10"/>
  <c r="H70" i="10"/>
  <c r="J76" i="10"/>
  <c r="K76" i="10"/>
  <c r="N76" i="10"/>
  <c r="P76" i="10"/>
  <c r="L82" i="10"/>
  <c r="N82" i="10"/>
  <c r="P82" i="10"/>
  <c r="H82" i="10"/>
  <c r="L88" i="10"/>
  <c r="N88" i="10"/>
  <c r="P88" i="10"/>
  <c r="H88" i="10"/>
  <c r="I94" i="10"/>
  <c r="J94" i="10"/>
  <c r="K94" i="10"/>
  <c r="L94" i="10"/>
  <c r="N94" i="10"/>
  <c r="P94" i="10"/>
  <c r="H94" i="10"/>
  <c r="I100" i="10"/>
  <c r="K100" i="10"/>
  <c r="L100" i="10"/>
  <c r="N100" i="10"/>
  <c r="P100" i="10"/>
  <c r="H100" i="10"/>
  <c r="I118" i="10"/>
  <c r="J118" i="10"/>
  <c r="K118" i="10"/>
  <c r="L118" i="10"/>
  <c r="N118" i="10"/>
  <c r="P118" i="10"/>
  <c r="H118" i="10"/>
  <c r="P124" i="10"/>
  <c r="N130" i="10"/>
  <c r="P130" i="10"/>
  <c r="I136" i="10"/>
  <c r="K136" i="10"/>
  <c r="L136" i="10"/>
  <c r="N136" i="10"/>
  <c r="P136" i="10"/>
  <c r="H136" i="10"/>
  <c r="I142" i="10"/>
  <c r="J142" i="10"/>
  <c r="K142" i="10"/>
  <c r="L142" i="10"/>
  <c r="N142" i="10"/>
  <c r="P142" i="10"/>
  <c r="H142" i="10"/>
  <c r="J148" i="10"/>
  <c r="K148" i="10"/>
  <c r="L148" i="10"/>
  <c r="N148" i="10"/>
  <c r="P148" i="10"/>
  <c r="H148" i="10"/>
  <c r="J154" i="10"/>
  <c r="K154" i="10"/>
  <c r="L154" i="10"/>
  <c r="N154" i="10"/>
  <c r="P154" i="10"/>
  <c r="H154" i="10"/>
  <c r="P160" i="10"/>
  <c r="N160" i="10"/>
  <c r="L160" i="10"/>
  <c r="K160" i="10"/>
  <c r="J160" i="10"/>
  <c r="I160" i="10"/>
  <c r="H160" i="10"/>
  <c r="I166" i="10"/>
  <c r="K166" i="10"/>
  <c r="L166" i="10"/>
  <c r="N166" i="10"/>
  <c r="P166" i="10"/>
  <c r="H166" i="10"/>
  <c r="I172" i="10"/>
  <c r="J172" i="10"/>
  <c r="K172" i="10"/>
  <c r="L172" i="10"/>
  <c r="N172" i="10"/>
  <c r="P172" i="10"/>
  <c r="H172" i="10"/>
  <c r="N16" i="10" l="1"/>
  <c r="N184" i="10"/>
  <c r="G160" i="10"/>
  <c r="G94" i="10"/>
  <c r="G22" i="10"/>
  <c r="G21" i="10"/>
  <c r="G172" i="10"/>
  <c r="G142" i="10"/>
  <c r="G118" i="10"/>
  <c r="G117" i="10"/>
  <c r="G19" i="10"/>
  <c r="P112" i="10"/>
  <c r="P186" i="10"/>
  <c r="N185" i="10"/>
  <c r="P188" i="10"/>
  <c r="N187" i="10"/>
  <c r="K187" i="10"/>
  <c r="N186" i="10"/>
  <c r="P16" i="10"/>
  <c r="H186" i="10"/>
  <c r="N189" i="10"/>
  <c r="H187" i="10"/>
  <c r="J185" i="10"/>
  <c r="P189" i="10"/>
  <c r="P187" i="10"/>
  <c r="J186" i="10"/>
  <c r="P185" i="10"/>
  <c r="N188" i="10"/>
  <c r="I187" i="10"/>
  <c r="P184" i="10" l="1"/>
  <c r="L38" i="10" l="1"/>
  <c r="L34" i="10" l="1"/>
  <c r="L74" i="10"/>
  <c r="L70" i="10" s="1"/>
  <c r="L29" i="10"/>
  <c r="L30" i="10"/>
  <c r="G30" i="10" s="1"/>
  <c r="L17" i="10" l="1"/>
  <c r="G29" i="10"/>
  <c r="L18" i="10"/>
  <c r="L28" i="10"/>
  <c r="G28" i="10" s="1"/>
  <c r="L134" i="10"/>
  <c r="L130" i="10" s="1"/>
  <c r="L127" i="10"/>
  <c r="L126" i="10"/>
  <c r="L114" i="10" s="1"/>
  <c r="L125" i="10"/>
  <c r="L113" i="10" s="1"/>
  <c r="L80" i="10"/>
  <c r="L115" i="10" l="1"/>
  <c r="L76" i="10"/>
  <c r="L20" i="10"/>
  <c r="L185" i="10"/>
  <c r="L186" i="10"/>
  <c r="N10" i="10"/>
  <c r="L128" i="10"/>
  <c r="L16" i="10" l="1"/>
  <c r="L187" i="10"/>
  <c r="L116" i="10"/>
  <c r="L124" i="10"/>
  <c r="L112" i="10" s="1"/>
  <c r="L188" i="10" l="1"/>
  <c r="L189" i="10"/>
  <c r="L184" i="10"/>
  <c r="K128" i="10"/>
  <c r="G128" i="10" s="1"/>
  <c r="K126" i="10"/>
  <c r="K125" i="10"/>
  <c r="K113" i="10" s="1"/>
  <c r="K114" i="10" l="1"/>
  <c r="K186" i="10" s="1"/>
  <c r="K185" i="10"/>
  <c r="K124" i="10"/>
  <c r="K50" i="10"/>
  <c r="K46" i="10" s="1"/>
  <c r="K74" i="10" l="1"/>
  <c r="G74" i="10" s="1"/>
  <c r="K92" i="10"/>
  <c r="K88" i="10" s="1"/>
  <c r="K134" i="10"/>
  <c r="K116" i="10" s="1"/>
  <c r="K38" i="10"/>
  <c r="K68" i="10"/>
  <c r="K64" i="10" s="1"/>
  <c r="K34" i="10" l="1"/>
  <c r="K70" i="10"/>
  <c r="G70" i="10" s="1"/>
  <c r="K130" i="10"/>
  <c r="K112" i="10" s="1"/>
  <c r="K44" i="10"/>
  <c r="G44" i="10" s="1"/>
  <c r="K86" i="10"/>
  <c r="K82" i="10" s="1"/>
  <c r="J56" i="10"/>
  <c r="J134" i="10"/>
  <c r="J140" i="10"/>
  <c r="G140" i="10" s="1"/>
  <c r="J127" i="10"/>
  <c r="G127" i="10" s="1"/>
  <c r="J169" i="10"/>
  <c r="G169" i="10" s="1"/>
  <c r="J104" i="10"/>
  <c r="G104" i="10" s="1"/>
  <c r="J92" i="10"/>
  <c r="J88" i="10" s="1"/>
  <c r="J86" i="10"/>
  <c r="J82" i="10" s="1"/>
  <c r="J62" i="10"/>
  <c r="J58" i="10" s="1"/>
  <c r="J68" i="10"/>
  <c r="G68" i="10" s="1"/>
  <c r="I86" i="10"/>
  <c r="G86" i="10" s="1"/>
  <c r="H50" i="10"/>
  <c r="G50" i="10" s="1"/>
  <c r="I38" i="10"/>
  <c r="H38" i="10"/>
  <c r="G38" i="10" s="1"/>
  <c r="L10" i="10"/>
  <c r="I150" i="10"/>
  <c r="G150" i="10" s="1"/>
  <c r="I149" i="10"/>
  <c r="G149" i="10" s="1"/>
  <c r="I132" i="10"/>
  <c r="G132" i="10" s="1"/>
  <c r="I131" i="10"/>
  <c r="G131" i="10" s="1"/>
  <c r="I134" i="10"/>
  <c r="H134" i="10"/>
  <c r="I126" i="10"/>
  <c r="G126" i="10" s="1"/>
  <c r="I125" i="10"/>
  <c r="H125" i="10"/>
  <c r="I80" i="10"/>
  <c r="I76" i="10" s="1"/>
  <c r="H80" i="10"/>
  <c r="G80" i="10" s="1"/>
  <c r="I62" i="10"/>
  <c r="I56" i="10"/>
  <c r="I52" i="10" s="1"/>
  <c r="H56" i="10"/>
  <c r="H35" i="10"/>
  <c r="I36" i="10"/>
  <c r="G36" i="10" s="1"/>
  <c r="I35" i="10"/>
  <c r="I17" i="10" s="1"/>
  <c r="I156" i="10"/>
  <c r="G156" i="10" s="1"/>
  <c r="I155" i="10"/>
  <c r="G155" i="10" s="1"/>
  <c r="I90" i="10"/>
  <c r="G90" i="10" s="1"/>
  <c r="I92" i="10"/>
  <c r="G14" i="10"/>
  <c r="G13" i="10"/>
  <c r="G12" i="10"/>
  <c r="G11" i="10"/>
  <c r="P10" i="10"/>
  <c r="I10" i="10"/>
  <c r="H10" i="10"/>
  <c r="G56" i="10" l="1"/>
  <c r="G92" i="10"/>
  <c r="H17" i="10"/>
  <c r="G17" i="10" s="1"/>
  <c r="G35" i="10"/>
  <c r="H116" i="10"/>
  <c r="G134" i="10"/>
  <c r="G62" i="10"/>
  <c r="H113" i="10"/>
  <c r="G125" i="10"/>
  <c r="I113" i="10"/>
  <c r="I185" i="10" s="1"/>
  <c r="J115" i="10"/>
  <c r="G115" i="10" s="1"/>
  <c r="K20" i="10"/>
  <c r="I114" i="10"/>
  <c r="G114" i="10" s="1"/>
  <c r="H20" i="10"/>
  <c r="J116" i="10"/>
  <c r="I116" i="10"/>
  <c r="I18" i="10"/>
  <c r="G18" i="10" s="1"/>
  <c r="I20" i="10"/>
  <c r="J52" i="10"/>
  <c r="J20" i="10"/>
  <c r="I58" i="10"/>
  <c r="G58" i="10" s="1"/>
  <c r="I130" i="10"/>
  <c r="I82" i="10"/>
  <c r="G82" i="10" s="1"/>
  <c r="J136" i="10"/>
  <c r="G136" i="10" s="1"/>
  <c r="H34" i="10"/>
  <c r="H76" i="10"/>
  <c r="G76" i="10" s="1"/>
  <c r="J64" i="10"/>
  <c r="G64" i="10" s="1"/>
  <c r="J100" i="10"/>
  <c r="G100" i="10" s="1"/>
  <c r="J130" i="10"/>
  <c r="I88" i="10"/>
  <c r="G88" i="10" s="1"/>
  <c r="H52" i="10"/>
  <c r="G52" i="10" s="1"/>
  <c r="H130" i="10"/>
  <c r="I148" i="10"/>
  <c r="G148" i="10" s="1"/>
  <c r="J166" i="10"/>
  <c r="G166" i="10" s="1"/>
  <c r="K189" i="10"/>
  <c r="I154" i="10"/>
  <c r="G154" i="10" s="1"/>
  <c r="I124" i="10"/>
  <c r="K40" i="10"/>
  <c r="G40" i="10" s="1"/>
  <c r="I34" i="10"/>
  <c r="H124" i="10"/>
  <c r="H46" i="10"/>
  <c r="G46" i="10" s="1"/>
  <c r="J124" i="10"/>
  <c r="G10" i="10"/>
  <c r="G34" i="10" l="1"/>
  <c r="G124" i="10"/>
  <c r="G116" i="10"/>
  <c r="G130" i="10"/>
  <c r="G113" i="10"/>
  <c r="G20" i="10"/>
  <c r="J112" i="10"/>
  <c r="K188" i="10"/>
  <c r="I16" i="10"/>
  <c r="H112" i="10"/>
  <c r="I188" i="10"/>
  <c r="J188" i="10"/>
  <c r="I112" i="10"/>
  <c r="J16" i="10"/>
  <c r="H16" i="10"/>
  <c r="K16" i="10"/>
  <c r="J187" i="10"/>
  <c r="G187" i="10" s="1"/>
  <c r="H185" i="10"/>
  <c r="G185" i="10" s="1"/>
  <c r="H188" i="10"/>
  <c r="I186" i="10"/>
  <c r="G186" i="10" s="1"/>
  <c r="G188" i="10" l="1"/>
  <c r="G16" i="10"/>
  <c r="G112" i="10"/>
  <c r="K184" i="10"/>
  <c r="I184" i="10"/>
  <c r="I189" i="10"/>
  <c r="H189" i="10"/>
  <c r="H184" i="10"/>
  <c r="J189" i="10"/>
  <c r="J184" i="10"/>
  <c r="G184" i="10" l="1"/>
  <c r="G189" i="10"/>
</calcChain>
</file>

<file path=xl/sharedStrings.xml><?xml version="1.0" encoding="utf-8"?>
<sst xmlns="http://schemas.openxmlformats.org/spreadsheetml/2006/main" count="299" uniqueCount="97">
  <si>
    <t>Срок  исполнения мероприятия</t>
  </si>
  <si>
    <t>Всего, в т.ч.</t>
  </si>
  <si>
    <t>- федеральный бюджет</t>
  </si>
  <si>
    <t>- бюджет Республики Крым</t>
  </si>
  <si>
    <t>- муниципальный бюджет</t>
  </si>
  <si>
    <t>- внебюджетные источники</t>
  </si>
  <si>
    <t xml:space="preserve">№   п/п </t>
  </si>
  <si>
    <t>Источники    финансирования</t>
  </si>
  <si>
    <t>Всего   (тыс. руб.)</t>
  </si>
  <si>
    <t>ИТОГО по Программе:</t>
  </si>
  <si>
    <t>ДГХА г. Евпатории РК</t>
  </si>
  <si>
    <t>2019-2022</t>
  </si>
  <si>
    <t xml:space="preserve">Ответственный за выполнение мероприятия программы </t>
  </si>
  <si>
    <t xml:space="preserve">Мероприятия по реализации  муниципальной программы </t>
  </si>
  <si>
    <t>Мероприятие 3.4</t>
  </si>
  <si>
    <t>1</t>
  </si>
  <si>
    <t>1.1</t>
  </si>
  <si>
    <t>1.2</t>
  </si>
  <si>
    <t>1.3</t>
  </si>
  <si>
    <t>2.1</t>
  </si>
  <si>
    <t>ДГХА г. Евпатории РК, МБУ "Порядок"</t>
  </si>
  <si>
    <t>Благоустройство дворовых территорий</t>
  </si>
  <si>
    <t>1.4</t>
  </si>
  <si>
    <t>1.5</t>
  </si>
  <si>
    <t>1.6</t>
  </si>
  <si>
    <t>1.7</t>
  </si>
  <si>
    <t>1.8</t>
  </si>
  <si>
    <t>1.9</t>
  </si>
  <si>
    <t>1.10</t>
  </si>
  <si>
    <t>Благоустройство придомовых территорий и ремонт детских игровых площадок на территории муниципального образования городской округ Евпатория Республики Крым</t>
  </si>
  <si>
    <t>1.11</t>
  </si>
  <si>
    <t>1.12</t>
  </si>
  <si>
    <t>1.13</t>
  </si>
  <si>
    <t>Текущий ремонт тротуаров</t>
  </si>
  <si>
    <t>Ремонт покрытия внутридворовых проездов</t>
  </si>
  <si>
    <t>Обустройство парковочных карманов во дворах (в рамках проведения марафона «Чистый двор – уютный город»)</t>
  </si>
  <si>
    <t>2</t>
  </si>
  <si>
    <t>Благоустройство общественных территорий</t>
  </si>
  <si>
    <t>2018-2019</t>
  </si>
  <si>
    <t>2.2</t>
  </si>
  <si>
    <t>2.3</t>
  </si>
  <si>
    <t>2.4</t>
  </si>
  <si>
    <t>2.5</t>
  </si>
  <si>
    <t>2.6</t>
  </si>
  <si>
    <t>Устройство внутридворового освещения (в т.ч. в рамках проведения марафона «Чистый двор-уютный город»), текущий ремонт внитридворового освещения</t>
  </si>
  <si>
    <t>2.7</t>
  </si>
  <si>
    <t>2.8</t>
  </si>
  <si>
    <t>Поставка сборно-разборных металлических защитных конструкций для контейнерных площадок</t>
  </si>
  <si>
    <t>ДГХА г. Евпатории РК, МБУ "УГХ"</t>
  </si>
  <si>
    <t>2019-2020</t>
  </si>
  <si>
    <t>Приобретение цифровой платформы коммуникаций граждан и государственных структур</t>
  </si>
  <si>
    <t>Услуги по приобретению,установке,содержанию и ремонту автоматического дорожного блокиратора «Боллард»</t>
  </si>
  <si>
    <t>Поставка, монтаж и установка оборудования   дворовых территорий и детских игровых площадок</t>
  </si>
  <si>
    <t xml:space="preserve">Капитальный ремонт общественных территорий
</t>
  </si>
  <si>
    <t>Установка систем видеонаблюдения  общественных территорий</t>
  </si>
  <si>
    <t>- бюджеты субъектов РФ</t>
  </si>
  <si>
    <t>Благоустройство общественных территорий (в части установки остановочных павильонов)</t>
  </si>
  <si>
    <t>2.9</t>
  </si>
  <si>
    <t>Проектно - изыскательские работы, разработка дизайн-проектов и проектно-сметной документации по благоустройству общественных пространств, проведение экспертиз проектно-сметной документации</t>
  </si>
  <si>
    <t>Текущий ремонт  дворовых территорий</t>
  </si>
  <si>
    <t>Проектно - изыскательские работы, разработка дизайн-проектов и проектно-сметной документации по благоустройству дворовых территорий, проведение экспертиз проектно-сметной документации</t>
  </si>
  <si>
    <t xml:space="preserve">Текущий ремонт общественных территорий
</t>
  </si>
  <si>
    <t>Устройство освещения общественных территорий</t>
  </si>
  <si>
    <t xml:space="preserve"> внебюджетные источники</t>
  </si>
  <si>
    <t xml:space="preserve">Приложение № 3
к муниципальной программе «Формирование современной городской среды городского округа Евпатория Республики Крым» </t>
  </si>
  <si>
    <t>Ресурсное обеспечение и прогнозная оценка расходов на реализацию муниципальной программы по источникам финансирования</t>
  </si>
  <si>
    <t>2018-2021</t>
  </si>
  <si>
    <t xml:space="preserve">  </t>
  </si>
  <si>
    <t>2018-2022</t>
  </si>
  <si>
    <t>2020-2022</t>
  </si>
  <si>
    <t>1.14</t>
  </si>
  <si>
    <t xml:space="preserve">Благоустройство территорий за счёт средств, источником финансового обеспечения которых являются средства резервного фонда Правительства Российской Федерации </t>
  </si>
  <si>
    <t>Капитальный ремонт дворовых территорий в рамках реализации Соглашения между Правительством Москвы и Советом министров Республики Крым</t>
  </si>
  <si>
    <t xml:space="preserve">Строительный контроль и технический надзор по благоустройству общественных территорий </t>
  </si>
  <si>
    <t xml:space="preserve">Строительный контроль и технический надзор по благоустройству дворовых территорий </t>
  </si>
  <si>
    <t>2018-2020</t>
  </si>
  <si>
    <t xml:space="preserve">Ремонт (текущий ремонт) контейнерных площадок
</t>
  </si>
  <si>
    <t>2018, 2019, 2021, 2022</t>
  </si>
  <si>
    <t>2018, 2020-2023</t>
  </si>
  <si>
    <t>2018, 2020, 2021</t>
  </si>
  <si>
    <t>2018-2019, 2021-2022</t>
  </si>
  <si>
    <t>2.10</t>
  </si>
  <si>
    <t>Благоустройство общественных территорий(в части обустройства контейнерных площадок для сбора ТКО)</t>
  </si>
  <si>
    <t>Расходы (тыс. рублей)</t>
  </si>
  <si>
    <t>2023-2024</t>
  </si>
  <si>
    <t>2020-2025</t>
  </si>
  <si>
    <t>2018-2024</t>
  </si>
  <si>
    <t>2018-2025</t>
  </si>
  <si>
    <t>Благоустройство и установка многофункциональных площадок</t>
  </si>
  <si>
    <t>1.15</t>
  </si>
  <si>
    <t>2018-2019, 2022-2024</t>
  </si>
  <si>
    <t>2.11</t>
  </si>
  <si>
    <t xml:space="preserve">Благоустройство общественных территорий </t>
  </si>
  <si>
    <t>Благоустройство общественных территорий(в части закупки контейнерных баков для сбора
ТКО)</t>
  </si>
  <si>
    <t>2019-2020,2024</t>
  </si>
  <si>
    <t>2018,2020, 2022,2023</t>
  </si>
  <si>
    <t>2018-2020, 2022,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</si>
</sst>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0"/>
    <numFmt numFmtId="165" formatCode="0.000000"/>
    <numFmt numFmtId="166" formatCode="#,##0.00000"/>
  </numFmts>
  <fonts count="1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7">
    <xf numFmtId="0" fontId="0" fillId="0" borderId="0" xfId="0"/>
    <xf numFmtId="0" fontId="7" fillId="2" borderId="0" xfId="0" applyFont="1" applyFill="1" applyAlignment="1">
      <alignment wrapText="1"/>
    </xf>
    <xf numFmtId="0" fontId="1" fillId="2" borderId="0" xfId="0" applyFont="1" applyFill="1" applyAlignment="1">
      <alignment wrapText="1"/>
    </xf>
    <xf numFmtId="0" fontId="8" fillId="2" borderId="0" xfId="0" applyFont="1" applyFill="1"/>
    <xf numFmtId="0" fontId="1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2" borderId="45" xfId="0" applyNumberFormat="1" applyFont="1" applyFill="1" applyBorder="1" applyAlignment="1">
      <alignment horizontal="center" vertical="center" wrapText="1"/>
    </xf>
    <xf numFmtId="164" fontId="3" fillId="2" borderId="46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64" fontId="3" fillId="2" borderId="47" xfId="0" applyNumberFormat="1" applyFont="1" applyFill="1" applyBorder="1" applyAlignment="1">
      <alignment horizontal="center" vertical="center" wrapText="1"/>
    </xf>
    <xf numFmtId="164" fontId="3" fillId="2" borderId="48" xfId="0" applyNumberFormat="1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166" fontId="5" fillId="2" borderId="25" xfId="0" applyNumberFormat="1" applyFont="1" applyFill="1" applyBorder="1" applyAlignment="1">
      <alignment horizontal="right" vertical="center" wrapText="1"/>
    </xf>
    <xf numFmtId="166" fontId="5" fillId="2" borderId="26" xfId="0" applyNumberFormat="1" applyFont="1" applyFill="1" applyBorder="1" applyAlignment="1">
      <alignment horizontal="right" vertical="center" wrapText="1"/>
    </xf>
    <xf numFmtId="166" fontId="5" fillId="2" borderId="23" xfId="0" applyNumberFormat="1" applyFont="1" applyFill="1" applyBorder="1" applyAlignment="1">
      <alignment horizontal="right" vertical="center" wrapText="1"/>
    </xf>
    <xf numFmtId="166" fontId="5" fillId="2" borderId="27" xfId="0" applyNumberFormat="1" applyFont="1" applyFill="1" applyBorder="1" applyAlignment="1">
      <alignment horizontal="right" vertical="center" wrapText="1"/>
    </xf>
    <xf numFmtId="0" fontId="6" fillId="2" borderId="10" xfId="0" applyFont="1" applyFill="1" applyBorder="1" applyAlignment="1">
      <alignment horizontal="center" vertical="center" wrapText="1"/>
    </xf>
    <xf numFmtId="166" fontId="5" fillId="2" borderId="16" xfId="0" applyNumberFormat="1" applyFont="1" applyFill="1" applyBorder="1" applyAlignment="1">
      <alignment horizontal="right" vertical="center" wrapText="1"/>
    </xf>
    <xf numFmtId="166" fontId="5" fillId="2" borderId="8" xfId="0" applyNumberFormat="1" applyFont="1" applyFill="1" applyBorder="1" applyAlignment="1">
      <alignment horizontal="right" vertical="center" wrapText="1"/>
    </xf>
    <xf numFmtId="166" fontId="5" fillId="2" borderId="9" xfId="0" applyNumberFormat="1" applyFont="1" applyFill="1" applyBorder="1" applyAlignment="1">
      <alignment horizontal="right" vertical="center" wrapText="1"/>
    </xf>
    <xf numFmtId="166" fontId="5" fillId="2" borderId="29" xfId="0" applyNumberFormat="1" applyFont="1" applyFill="1" applyBorder="1" applyAlignment="1">
      <alignment horizontal="right" vertical="center" wrapText="1"/>
    </xf>
    <xf numFmtId="49" fontId="6" fillId="2" borderId="10" xfId="0" applyNumberFormat="1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166" fontId="5" fillId="2" borderId="15" xfId="0" applyNumberFormat="1" applyFont="1" applyFill="1" applyBorder="1" applyAlignment="1">
      <alignment horizontal="right" vertical="center" wrapText="1"/>
    </xf>
    <xf numFmtId="166" fontId="5" fillId="2" borderId="11" xfId="0" applyNumberFormat="1" applyFont="1" applyFill="1" applyBorder="1" applyAlignment="1">
      <alignment horizontal="right" vertical="center" wrapText="1"/>
    </xf>
    <xf numFmtId="166" fontId="5" fillId="2" borderId="12" xfId="0" applyNumberFormat="1" applyFont="1" applyFill="1" applyBorder="1" applyAlignment="1">
      <alignment horizontal="right" vertical="center" wrapText="1"/>
    </xf>
    <xf numFmtId="166" fontId="5" fillId="2" borderId="37" xfId="0" applyNumberFormat="1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center" vertical="center" wrapText="1"/>
    </xf>
    <xf numFmtId="166" fontId="3" fillId="2" borderId="14" xfId="0" applyNumberFormat="1" applyFont="1" applyFill="1" applyBorder="1" applyAlignment="1">
      <alignment horizontal="right" vertical="center" wrapText="1"/>
    </xf>
    <xf numFmtId="166" fontId="3" fillId="2" borderId="5" xfId="0" applyNumberFormat="1" applyFont="1" applyFill="1" applyBorder="1" applyAlignment="1">
      <alignment horizontal="right" vertical="center" wrapText="1"/>
    </xf>
    <xf numFmtId="166" fontId="3" fillId="2" borderId="6" xfId="0" applyNumberFormat="1" applyFont="1" applyFill="1" applyBorder="1" applyAlignment="1">
      <alignment horizontal="right" vertical="center" wrapText="1"/>
    </xf>
    <xf numFmtId="166" fontId="3" fillId="2" borderId="39" xfId="0" applyNumberFormat="1" applyFont="1" applyFill="1" applyBorder="1" applyAlignment="1">
      <alignment horizontal="right" vertical="center" wrapText="1"/>
    </xf>
    <xf numFmtId="164" fontId="3" fillId="2" borderId="0" xfId="0" applyNumberFormat="1" applyFont="1" applyFill="1" applyAlignment="1">
      <alignment horizontal="right" vertical="center" wrapText="1"/>
    </xf>
    <xf numFmtId="0" fontId="4" fillId="2" borderId="10" xfId="0" applyFont="1" applyFill="1" applyBorder="1" applyAlignment="1">
      <alignment horizontal="center" vertical="center" wrapText="1"/>
    </xf>
    <xf numFmtId="166" fontId="3" fillId="2" borderId="16" xfId="0" applyNumberFormat="1" applyFont="1" applyFill="1" applyBorder="1" applyAlignment="1">
      <alignment horizontal="right" vertical="center" wrapText="1"/>
    </xf>
    <xf numFmtId="166" fontId="3" fillId="2" borderId="8" xfId="0" applyNumberFormat="1" applyFont="1" applyFill="1" applyBorder="1" applyAlignment="1">
      <alignment horizontal="right" vertical="center" wrapText="1"/>
    </xf>
    <xf numFmtId="166" fontId="3" fillId="2" borderId="9" xfId="0" applyNumberFormat="1" applyFont="1" applyFill="1" applyBorder="1" applyAlignment="1">
      <alignment horizontal="right" vertical="center" wrapText="1"/>
    </xf>
    <xf numFmtId="166" fontId="3" fillId="2" borderId="29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166" fontId="9" fillId="2" borderId="9" xfId="0" applyNumberFormat="1" applyFont="1" applyFill="1" applyBorder="1" applyAlignment="1">
      <alignment horizontal="right" vertical="center" wrapText="1"/>
    </xf>
    <xf numFmtId="166" fontId="8" fillId="2" borderId="0" xfId="0" applyNumberFormat="1" applyFont="1" applyFill="1"/>
    <xf numFmtId="0" fontId="4" fillId="2" borderId="13" xfId="0" applyFont="1" applyFill="1" applyBorder="1" applyAlignment="1">
      <alignment horizontal="center" vertical="center" wrapText="1"/>
    </xf>
    <xf numFmtId="166" fontId="3" fillId="2" borderId="15" xfId="0" applyNumberFormat="1" applyFont="1" applyFill="1" applyBorder="1" applyAlignment="1">
      <alignment horizontal="right" vertical="center" wrapText="1"/>
    </xf>
    <xf numFmtId="166" fontId="3" fillId="2" borderId="11" xfId="0" applyNumberFormat="1" applyFont="1" applyFill="1" applyBorder="1" applyAlignment="1">
      <alignment horizontal="right" vertical="center" wrapText="1"/>
    </xf>
    <xf numFmtId="166" fontId="3" fillId="2" borderId="12" xfId="0" applyNumberFormat="1" applyFont="1" applyFill="1" applyBorder="1" applyAlignment="1">
      <alignment horizontal="right" vertical="center" wrapText="1"/>
    </xf>
    <xf numFmtId="166" fontId="3" fillId="2" borderId="37" xfId="0" applyNumberFormat="1" applyFont="1" applyFill="1" applyBorder="1" applyAlignment="1">
      <alignment horizontal="right" vertical="center" wrapText="1"/>
    </xf>
    <xf numFmtId="0" fontId="4" fillId="2" borderId="32" xfId="0" applyFont="1" applyFill="1" applyBorder="1" applyAlignment="1">
      <alignment horizontal="center" vertical="center" wrapText="1"/>
    </xf>
    <xf numFmtId="166" fontId="3" fillId="2" borderId="33" xfId="0" applyNumberFormat="1" applyFont="1" applyFill="1" applyBorder="1" applyAlignment="1">
      <alignment horizontal="right" vertical="center" wrapText="1"/>
    </xf>
    <xf numFmtId="166" fontId="3" fillId="2" borderId="34" xfId="0" applyNumberFormat="1" applyFont="1" applyFill="1" applyBorder="1" applyAlignment="1">
      <alignment horizontal="right" vertical="center" wrapText="1"/>
    </xf>
    <xf numFmtId="166" fontId="3" fillId="2" borderId="31" xfId="0" applyNumberFormat="1" applyFont="1" applyFill="1" applyBorder="1" applyAlignment="1">
      <alignment horizontal="right" vertical="center" wrapText="1"/>
    </xf>
    <xf numFmtId="166" fontId="3" fillId="2" borderId="35" xfId="0" applyNumberFormat="1" applyFont="1" applyFill="1" applyBorder="1" applyAlignment="1">
      <alignment horizontal="right" vertical="center" wrapText="1"/>
    </xf>
    <xf numFmtId="164" fontId="8" fillId="2" borderId="0" xfId="0" applyNumberFormat="1" applyFont="1" applyFill="1"/>
    <xf numFmtId="4" fontId="12" fillId="2" borderId="0" xfId="0" applyNumberFormat="1" applyFont="1" applyFill="1"/>
    <xf numFmtId="0" fontId="6" fillId="2" borderId="32" xfId="0" applyFont="1" applyFill="1" applyBorder="1" applyAlignment="1">
      <alignment horizontal="center" vertical="center" wrapText="1"/>
    </xf>
    <xf numFmtId="166" fontId="5" fillId="2" borderId="33" xfId="0" applyNumberFormat="1" applyFont="1" applyFill="1" applyBorder="1" applyAlignment="1">
      <alignment horizontal="right" vertical="center" wrapText="1"/>
    </xf>
    <xf numFmtId="166" fontId="5" fillId="2" borderId="34" xfId="0" applyNumberFormat="1" applyFont="1" applyFill="1" applyBorder="1" applyAlignment="1">
      <alignment horizontal="right" vertical="center" wrapText="1"/>
    </xf>
    <xf numFmtId="166" fontId="5" fillId="2" borderId="31" xfId="0" applyNumberFormat="1" applyFont="1" applyFill="1" applyBorder="1" applyAlignment="1">
      <alignment horizontal="right" vertical="center" wrapText="1"/>
    </xf>
    <xf numFmtId="166" fontId="5" fillId="2" borderId="35" xfId="0" applyNumberFormat="1" applyFont="1" applyFill="1" applyBorder="1" applyAlignment="1">
      <alignment horizontal="right" vertical="center" wrapText="1"/>
    </xf>
    <xf numFmtId="164" fontId="1" fillId="2" borderId="0" xfId="0" applyNumberFormat="1" applyFont="1" applyFill="1" applyAlignment="1">
      <alignment wrapText="1"/>
    </xf>
    <xf numFmtId="165" fontId="1" fillId="2" borderId="0" xfId="0" applyNumberFormat="1" applyFont="1" applyFill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6" fontId="5" fillId="0" borderId="23" xfId="0" applyNumberFormat="1" applyFont="1" applyBorder="1" applyAlignment="1">
      <alignment horizontal="right" vertical="center" wrapText="1"/>
    </xf>
    <xf numFmtId="166" fontId="5" fillId="0" borderId="9" xfId="0" applyNumberFormat="1" applyFont="1" applyBorder="1" applyAlignment="1">
      <alignment horizontal="right" vertical="center" wrapText="1"/>
    </xf>
    <xf numFmtId="166" fontId="5" fillId="0" borderId="12" xfId="0" applyNumberFormat="1" applyFont="1" applyBorder="1" applyAlignment="1">
      <alignment horizontal="right" vertical="center" wrapText="1"/>
    </xf>
    <xf numFmtId="166" fontId="3" fillId="0" borderId="6" xfId="0" applyNumberFormat="1" applyFont="1" applyBorder="1" applyAlignment="1">
      <alignment horizontal="right" vertical="center" wrapText="1"/>
    </xf>
    <xf numFmtId="166" fontId="3" fillId="0" borderId="9" xfId="0" applyNumberFormat="1" applyFont="1" applyBorder="1" applyAlignment="1">
      <alignment horizontal="right" vertical="center" wrapText="1"/>
    </xf>
    <xf numFmtId="166" fontId="3" fillId="0" borderId="12" xfId="0" applyNumberFormat="1" applyFont="1" applyBorder="1" applyAlignment="1">
      <alignment horizontal="right" vertical="center" wrapText="1"/>
    </xf>
    <xf numFmtId="166" fontId="3" fillId="0" borderId="31" xfId="0" applyNumberFormat="1" applyFont="1" applyBorder="1" applyAlignment="1">
      <alignment horizontal="right" vertical="center" wrapText="1"/>
    </xf>
    <xf numFmtId="166" fontId="5" fillId="0" borderId="31" xfId="0" applyNumberFormat="1" applyFont="1" applyBorder="1" applyAlignment="1">
      <alignment horizontal="right" vertical="center" wrapText="1"/>
    </xf>
    <xf numFmtId="164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49" fontId="3" fillId="2" borderId="38" xfId="0" applyNumberFormat="1" applyFont="1" applyFill="1" applyBorder="1" applyAlignment="1">
      <alignment horizontal="center" vertical="top" wrapText="1"/>
    </xf>
    <xf numFmtId="0" fontId="0" fillId="2" borderId="28" xfId="0" applyFill="1" applyBorder="1" applyAlignment="1">
      <alignment horizontal="center" vertical="top" wrapText="1"/>
    </xf>
    <xf numFmtId="0" fontId="0" fillId="2" borderId="36" xfId="0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top" wrapText="1"/>
    </xf>
    <xf numFmtId="0" fontId="4" fillId="2" borderId="18" xfId="0" applyFont="1" applyFill="1" applyBorder="1" applyAlignment="1">
      <alignment horizontal="center" vertical="top" wrapText="1"/>
    </xf>
    <xf numFmtId="0" fontId="4" fillId="2" borderId="17" xfId="0" applyFont="1" applyFill="1" applyBorder="1" applyAlignment="1">
      <alignment horizontal="center" vertical="top" wrapText="1"/>
    </xf>
    <xf numFmtId="49" fontId="5" fillId="2" borderId="22" xfId="0" applyNumberFormat="1" applyFont="1" applyFill="1" applyBorder="1" applyAlignment="1">
      <alignment horizontal="center" vertical="top" wrapText="1"/>
    </xf>
    <xf numFmtId="0" fontId="11" fillId="2" borderId="28" xfId="0" applyFont="1" applyFill="1" applyBorder="1" applyAlignment="1">
      <alignment horizontal="center" vertical="top" wrapText="1"/>
    </xf>
    <xf numFmtId="0" fontId="11" fillId="2" borderId="36" xfId="0" applyFont="1" applyFill="1" applyBorder="1" applyAlignment="1">
      <alignment horizontal="center" vertical="top" wrapText="1"/>
    </xf>
    <xf numFmtId="0" fontId="5" fillId="2" borderId="23" xfId="0" applyFont="1" applyFill="1" applyBorder="1" applyAlignment="1">
      <alignment horizontal="center" vertical="top" wrapText="1"/>
    </xf>
    <xf numFmtId="0" fontId="5" fillId="2" borderId="9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center" vertical="top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49" fontId="1" fillId="2" borderId="42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11" fillId="2" borderId="30" xfId="0" applyFont="1" applyFill="1" applyBorder="1" applyAlignment="1">
      <alignment horizontal="center" vertical="top" wrapText="1"/>
    </xf>
    <xf numFmtId="0" fontId="5" fillId="2" borderId="31" xfId="0" applyFont="1" applyFill="1" applyBorder="1" applyAlignment="1">
      <alignment horizontal="center" vertical="top" wrapText="1"/>
    </xf>
    <xf numFmtId="0" fontId="5" fillId="2" borderId="31" xfId="0" applyFont="1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top" wrapText="1"/>
    </xf>
    <xf numFmtId="0" fontId="3" fillId="2" borderId="3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93"/>
  <sheetViews>
    <sheetView tabSelected="1" zoomScale="90" zoomScaleNormal="90" zoomScaleSheetLayoutView="50" workbookViewId="0">
      <pane ySplit="8" topLeftCell="A9" activePane="bottomLeft" state="frozen"/>
      <selection pane="bottomLeft" activeCell="Q7" sqref="Q7"/>
    </sheetView>
  </sheetViews>
  <sheetFormatPr defaultColWidth="9.140625" defaultRowHeight="15.75" x14ac:dyDescent="0.25"/>
  <cols>
    <col min="1" max="1" width="2.85546875" style="1" customWidth="1"/>
    <col min="2" max="2" width="5.85546875" style="1" customWidth="1"/>
    <col min="3" max="3" width="33.7109375" style="2" customWidth="1"/>
    <col min="4" max="4" width="13.5703125" style="2" customWidth="1"/>
    <col min="5" max="5" width="15.42578125" style="2" customWidth="1"/>
    <col min="6" max="6" width="28.42578125" style="2" customWidth="1"/>
    <col min="7" max="7" width="17.28515625" style="2" customWidth="1"/>
    <col min="8" max="13" width="14.28515625" style="2" bestFit="1" customWidth="1"/>
    <col min="14" max="14" width="14.28515625" style="90" bestFit="1" customWidth="1"/>
    <col min="15" max="15" width="14.28515625" style="2" bestFit="1" customWidth="1"/>
    <col min="16" max="16" width="12.85546875" style="1" customWidth="1"/>
    <col min="17" max="18" width="8.140625" style="3" bestFit="1" customWidth="1"/>
    <col min="19" max="19" width="13" style="3" bestFit="1" customWidth="1"/>
    <col min="20" max="20" width="14.5703125" style="3" customWidth="1"/>
    <col min="21" max="16384" width="9.140625" style="3"/>
  </cols>
  <sheetData>
    <row r="1" spans="2:16" ht="30.75" customHeight="1" x14ac:dyDescent="0.25">
      <c r="H1" s="109"/>
      <c r="I1" s="109"/>
      <c r="J1" s="109"/>
      <c r="K1" s="109"/>
      <c r="L1" s="109"/>
      <c r="M1" s="109"/>
      <c r="N1" s="109"/>
      <c r="O1" s="109"/>
      <c r="P1" s="109"/>
    </row>
    <row r="2" spans="2:16" ht="12" customHeight="1" x14ac:dyDescent="0.25">
      <c r="H2" s="4"/>
      <c r="I2" s="4"/>
      <c r="J2" s="4"/>
      <c r="K2" s="4"/>
      <c r="L2" s="4"/>
      <c r="M2" s="4"/>
      <c r="N2" s="74"/>
      <c r="O2" s="4"/>
      <c r="P2" s="4"/>
    </row>
    <row r="3" spans="2:16" ht="35.25" customHeight="1" x14ac:dyDescent="0.25">
      <c r="H3" s="113" t="s">
        <v>64</v>
      </c>
      <c r="I3" s="113"/>
      <c r="J3" s="113"/>
      <c r="K3" s="113"/>
      <c r="L3" s="113"/>
      <c r="M3" s="113"/>
      <c r="N3" s="113"/>
      <c r="O3" s="113"/>
      <c r="P3" s="113"/>
    </row>
    <row r="4" spans="2:16" ht="16.5" customHeight="1" x14ac:dyDescent="0.25">
      <c r="H4" s="5"/>
      <c r="I4" s="5"/>
      <c r="J4" s="5"/>
      <c r="K4" s="5"/>
      <c r="L4" s="5"/>
      <c r="M4" s="5"/>
      <c r="N4" s="75"/>
      <c r="O4" s="5"/>
      <c r="P4" s="5"/>
    </row>
    <row r="5" spans="2:16" ht="16.5" customHeight="1" x14ac:dyDescent="0.25">
      <c r="B5" s="114" t="s">
        <v>65</v>
      </c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2:16" ht="16.5" customHeight="1" thickBot="1" x14ac:dyDescent="0.3"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6"/>
      <c r="O6" s="7"/>
      <c r="P6" s="7"/>
    </row>
    <row r="7" spans="2:16" ht="71.25" customHeight="1" x14ac:dyDescent="0.25">
      <c r="B7" s="115" t="s">
        <v>6</v>
      </c>
      <c r="C7" s="94" t="s">
        <v>13</v>
      </c>
      <c r="D7" s="94" t="s">
        <v>0</v>
      </c>
      <c r="E7" s="94" t="s">
        <v>12</v>
      </c>
      <c r="F7" s="96" t="s">
        <v>7</v>
      </c>
      <c r="G7" s="98" t="s">
        <v>8</v>
      </c>
      <c r="H7" s="110" t="s">
        <v>83</v>
      </c>
      <c r="I7" s="94"/>
      <c r="J7" s="94"/>
      <c r="K7" s="94"/>
      <c r="L7" s="94"/>
      <c r="M7" s="94"/>
      <c r="N7" s="94"/>
      <c r="O7" s="111"/>
      <c r="P7" s="112"/>
    </row>
    <row r="8" spans="2:16" ht="13.5" customHeight="1" thickBot="1" x14ac:dyDescent="0.3">
      <c r="B8" s="116"/>
      <c r="C8" s="95"/>
      <c r="D8" s="95"/>
      <c r="E8" s="95"/>
      <c r="F8" s="97"/>
      <c r="G8" s="99"/>
      <c r="H8" s="8">
        <v>2018</v>
      </c>
      <c r="I8" s="9">
        <v>2019</v>
      </c>
      <c r="J8" s="9">
        <v>2020</v>
      </c>
      <c r="K8" s="9">
        <v>2021</v>
      </c>
      <c r="L8" s="9">
        <v>2022</v>
      </c>
      <c r="M8" s="9">
        <v>2023</v>
      </c>
      <c r="N8" s="77">
        <v>2024</v>
      </c>
      <c r="O8" s="9">
        <v>2025</v>
      </c>
      <c r="P8" s="10">
        <v>2026</v>
      </c>
    </row>
    <row r="9" spans="2:16" ht="16.5" thickBot="1" x14ac:dyDescent="0.3">
      <c r="B9" s="11">
        <v>1</v>
      </c>
      <c r="C9" s="12">
        <v>2</v>
      </c>
      <c r="D9" s="12">
        <v>3</v>
      </c>
      <c r="E9" s="12">
        <v>4</v>
      </c>
      <c r="F9" s="13">
        <v>5</v>
      </c>
      <c r="G9" s="14">
        <v>6</v>
      </c>
      <c r="H9" s="15">
        <v>7</v>
      </c>
      <c r="I9" s="12">
        <v>8</v>
      </c>
      <c r="J9" s="12">
        <v>9</v>
      </c>
      <c r="K9" s="12">
        <v>10</v>
      </c>
      <c r="L9" s="12">
        <v>11</v>
      </c>
      <c r="M9" s="12">
        <v>12</v>
      </c>
      <c r="N9" s="78">
        <v>13</v>
      </c>
      <c r="O9" s="12">
        <v>14</v>
      </c>
      <c r="P9" s="16">
        <v>14</v>
      </c>
    </row>
    <row r="10" spans="2:16" ht="16.5" hidden="1" customHeight="1" x14ac:dyDescent="0.25">
      <c r="B10" s="129"/>
      <c r="C10" s="91" t="s">
        <v>14</v>
      </c>
      <c r="D10" s="130" t="s">
        <v>11</v>
      </c>
      <c r="E10" s="131" t="s">
        <v>10</v>
      </c>
      <c r="F10" s="17" t="s">
        <v>1</v>
      </c>
      <c r="G10" s="18">
        <f>SUM(G11:G14)</f>
        <v>0</v>
      </c>
      <c r="H10" s="18">
        <f>SUM(H11:H14)</f>
        <v>0</v>
      </c>
      <c r="I10" s="18">
        <f>SUM(I11:I14)</f>
        <v>0</v>
      </c>
      <c r="J10" s="18"/>
      <c r="K10" s="18"/>
      <c r="L10" s="18">
        <f>SUM(L11:L14)</f>
        <v>0</v>
      </c>
      <c r="M10" s="18">
        <f>SUM(M11:M14)</f>
        <v>0</v>
      </c>
      <c r="N10" s="79">
        <f>SUM(N11:N14)</f>
        <v>0</v>
      </c>
      <c r="O10" s="19">
        <f>SUM(O11:O14)</f>
        <v>0</v>
      </c>
      <c r="P10" s="20">
        <f>SUM(P11:P14)</f>
        <v>0</v>
      </c>
    </row>
    <row r="11" spans="2:16" ht="26.25" hidden="1" customHeight="1" x14ac:dyDescent="0.25">
      <c r="B11" s="129"/>
      <c r="C11" s="92"/>
      <c r="D11" s="130"/>
      <c r="E11" s="131"/>
      <c r="F11" s="17" t="s">
        <v>2</v>
      </c>
      <c r="G11" s="18">
        <f>SUM(H11:P11)</f>
        <v>0</v>
      </c>
      <c r="H11" s="18"/>
      <c r="I11" s="18"/>
      <c r="J11" s="18"/>
      <c r="K11" s="18"/>
      <c r="L11" s="18"/>
      <c r="M11" s="18"/>
      <c r="N11" s="79"/>
      <c r="O11" s="19"/>
      <c r="P11" s="20"/>
    </row>
    <row r="12" spans="2:16" ht="27" hidden="1" customHeight="1" x14ac:dyDescent="0.25">
      <c r="B12" s="129"/>
      <c r="C12" s="92"/>
      <c r="D12" s="130"/>
      <c r="E12" s="131"/>
      <c r="F12" s="17" t="s">
        <v>3</v>
      </c>
      <c r="G12" s="18">
        <f>SUM(H12:P12)</f>
        <v>0</v>
      </c>
      <c r="H12" s="18"/>
      <c r="I12" s="18"/>
      <c r="J12" s="18"/>
      <c r="K12" s="18"/>
      <c r="L12" s="18"/>
      <c r="M12" s="18"/>
      <c r="N12" s="79"/>
      <c r="O12" s="19"/>
      <c r="P12" s="20"/>
    </row>
    <row r="13" spans="2:16" ht="25.5" hidden="1" customHeight="1" x14ac:dyDescent="0.25">
      <c r="B13" s="129"/>
      <c r="C13" s="92"/>
      <c r="D13" s="130"/>
      <c r="E13" s="131"/>
      <c r="F13" s="17" t="s">
        <v>4</v>
      </c>
      <c r="G13" s="18">
        <f>SUM(H13:P13)</f>
        <v>0</v>
      </c>
      <c r="H13" s="18"/>
      <c r="I13" s="18"/>
      <c r="J13" s="18"/>
      <c r="K13" s="18"/>
      <c r="L13" s="18"/>
      <c r="M13" s="18"/>
      <c r="N13" s="79"/>
      <c r="O13" s="19"/>
      <c r="P13" s="20"/>
    </row>
    <row r="14" spans="2:16" ht="129.75" hidden="1" customHeight="1" x14ac:dyDescent="0.25">
      <c r="B14" s="129"/>
      <c r="C14" s="93"/>
      <c r="D14" s="130"/>
      <c r="E14" s="131"/>
      <c r="F14" s="17" t="s">
        <v>5</v>
      </c>
      <c r="G14" s="18">
        <f>SUM(H14:P14)</f>
        <v>0</v>
      </c>
      <c r="H14" s="18"/>
      <c r="I14" s="18"/>
      <c r="J14" s="18"/>
      <c r="K14" s="18"/>
      <c r="L14" s="18"/>
      <c r="M14" s="18"/>
      <c r="N14" s="79"/>
      <c r="O14" s="19"/>
      <c r="P14" s="20"/>
    </row>
    <row r="15" spans="2:16" ht="16.5" hidden="1" thickBot="1" x14ac:dyDescent="0.3">
      <c r="B15" s="117"/>
      <c r="C15" s="118"/>
      <c r="D15" s="118"/>
      <c r="E15" s="119"/>
      <c r="F15" s="21"/>
      <c r="G15" s="22"/>
      <c r="H15" s="22"/>
      <c r="I15" s="22"/>
      <c r="J15" s="22"/>
      <c r="K15" s="22"/>
      <c r="L15" s="22"/>
      <c r="M15" s="22"/>
      <c r="N15" s="80"/>
      <c r="O15" s="23"/>
      <c r="P15" s="24"/>
    </row>
    <row r="16" spans="2:16" x14ac:dyDescent="0.25">
      <c r="B16" s="120" t="s">
        <v>15</v>
      </c>
      <c r="C16" s="123" t="s">
        <v>21</v>
      </c>
      <c r="D16" s="123" t="s">
        <v>87</v>
      </c>
      <c r="E16" s="126" t="s">
        <v>10</v>
      </c>
      <c r="F16" s="25" t="s">
        <v>1</v>
      </c>
      <c r="G16" s="26">
        <f>SUM(H16:P16)</f>
        <v>693108.4709800001</v>
      </c>
      <c r="H16" s="27">
        <f>SUM(H22,H28,H34,H40,H46,H52,H58,H64,H70,H76,H82,H88,H94,H100)</f>
        <v>85309.088760000013</v>
      </c>
      <c r="I16" s="28">
        <f t="shared" ref="I16:P21" si="0">SUM(I22,I28,I34,I40,I46,I52,I58,I64,I70,I76,I82,I88,I94,I100)</f>
        <v>57372.17985</v>
      </c>
      <c r="J16" s="28">
        <f t="shared" si="0"/>
        <v>53780.135519999989</v>
      </c>
      <c r="K16" s="28">
        <f t="shared" si="0"/>
        <v>52252.145520000005</v>
      </c>
      <c r="L16" s="28">
        <f t="shared" si="0"/>
        <v>78947.547869999995</v>
      </c>
      <c r="M16" s="28">
        <f t="shared" si="0"/>
        <v>48044.499660000001</v>
      </c>
      <c r="N16" s="81">
        <f>SUM(N22,N28,N34,N40,N46,N52,N58,N64,N70,N76,N82,N88,N94,N100,N106)</f>
        <v>157277.28480000002</v>
      </c>
      <c r="O16" s="28">
        <f t="shared" ref="O16" si="1">SUM(O22,O28,O34,O40,O46,O52,O58,O64,O70,O76,O82,O88,O94,O100)</f>
        <v>160125.58900000001</v>
      </c>
      <c r="P16" s="29">
        <f t="shared" si="0"/>
        <v>0</v>
      </c>
    </row>
    <row r="17" spans="2:20" x14ac:dyDescent="0.25">
      <c r="B17" s="121"/>
      <c r="C17" s="124"/>
      <c r="D17" s="124"/>
      <c r="E17" s="127"/>
      <c r="F17" s="30" t="s">
        <v>2</v>
      </c>
      <c r="G17" s="31">
        <f t="shared" ref="G17:G80" si="2">SUM(H17:P17)</f>
        <v>87195.581180000008</v>
      </c>
      <c r="H17" s="32">
        <f t="shared" ref="H17:P21" si="3">SUM(H23,H29,H35,H41,H47,H53,H59,H65,H71,H77,H83,H89,H95,H101)</f>
        <v>33056.21</v>
      </c>
      <c r="I17" s="33">
        <f t="shared" si="3"/>
        <v>251.142</v>
      </c>
      <c r="J17" s="33">
        <f t="shared" si="3"/>
        <v>0</v>
      </c>
      <c r="K17" s="33">
        <f t="shared" si="3"/>
        <v>0</v>
      </c>
      <c r="L17" s="33">
        <f t="shared" si="3"/>
        <v>53888.229180000002</v>
      </c>
      <c r="M17" s="33">
        <f t="shared" si="0"/>
        <v>0</v>
      </c>
      <c r="N17" s="82">
        <f t="shared" si="3"/>
        <v>0</v>
      </c>
      <c r="O17" s="33">
        <f t="shared" ref="O17" si="4">SUM(O23,O29,O35,O41,O47,O53,O59,O65,O71,O77,O83,O89,O95,O101)</f>
        <v>0</v>
      </c>
      <c r="P17" s="34">
        <f t="shared" si="3"/>
        <v>0</v>
      </c>
    </row>
    <row r="18" spans="2:20" x14ac:dyDescent="0.25">
      <c r="B18" s="121"/>
      <c r="C18" s="124"/>
      <c r="D18" s="124"/>
      <c r="E18" s="127"/>
      <c r="F18" s="30" t="s">
        <v>3</v>
      </c>
      <c r="G18" s="31">
        <f t="shared" si="2"/>
        <v>40915.818550000004</v>
      </c>
      <c r="H18" s="32">
        <f t="shared" si="3"/>
        <v>1500</v>
      </c>
      <c r="I18" s="33">
        <f t="shared" si="3"/>
        <v>10389.693000000001</v>
      </c>
      <c r="J18" s="33">
        <f t="shared" si="3"/>
        <v>1853.8</v>
      </c>
      <c r="K18" s="33">
        <f t="shared" si="3"/>
        <v>15000</v>
      </c>
      <c r="L18" s="33">
        <f t="shared" si="3"/>
        <v>3337.32555</v>
      </c>
      <c r="M18" s="33">
        <f t="shared" si="0"/>
        <v>0</v>
      </c>
      <c r="N18" s="82">
        <f>SUM(N24,N30,N36,N42,N48,N54,N60,N66,N72,N78,N84,N90,N96,N102,N108)</f>
        <v>8835</v>
      </c>
      <c r="O18" s="33">
        <f t="shared" ref="O18" si="5">SUM(O24,O30,O36,O42,O48,O54,O60,O66,O72,O78,O84,O90,O96,O102)</f>
        <v>0</v>
      </c>
      <c r="P18" s="34">
        <f t="shared" si="3"/>
        <v>0</v>
      </c>
    </row>
    <row r="19" spans="2:20" x14ac:dyDescent="0.25">
      <c r="B19" s="121"/>
      <c r="C19" s="124"/>
      <c r="D19" s="124"/>
      <c r="E19" s="127"/>
      <c r="F19" s="35" t="s">
        <v>55</v>
      </c>
      <c r="G19" s="31">
        <f t="shared" si="2"/>
        <v>378383.26360000006</v>
      </c>
      <c r="H19" s="32">
        <f t="shared" si="3"/>
        <v>0</v>
      </c>
      <c r="I19" s="33">
        <f t="shared" si="3"/>
        <v>0</v>
      </c>
      <c r="J19" s="33">
        <f t="shared" si="3"/>
        <v>18000</v>
      </c>
      <c r="K19" s="33">
        <f t="shared" si="3"/>
        <v>6900.9</v>
      </c>
      <c r="L19" s="33">
        <f t="shared" si="3"/>
        <v>6368</v>
      </c>
      <c r="M19" s="33">
        <f t="shared" si="0"/>
        <v>42755.86709</v>
      </c>
      <c r="N19" s="82">
        <f t="shared" si="3"/>
        <v>144232.90751000002</v>
      </c>
      <c r="O19" s="33">
        <f t="shared" ref="O19" si="6">SUM(O25,O31,O37,O43,O49,O55,O61,O67,O73,O79,O85,O91,O97,O103)</f>
        <v>160125.58900000001</v>
      </c>
      <c r="P19" s="34">
        <f t="shared" si="3"/>
        <v>0</v>
      </c>
    </row>
    <row r="20" spans="2:20" x14ac:dyDescent="0.25">
      <c r="B20" s="121"/>
      <c r="C20" s="124"/>
      <c r="D20" s="124"/>
      <c r="E20" s="127"/>
      <c r="F20" s="30" t="s">
        <v>4</v>
      </c>
      <c r="G20" s="31">
        <f t="shared" si="2"/>
        <v>186613.80765</v>
      </c>
      <c r="H20" s="32">
        <f t="shared" si="3"/>
        <v>50752.878760000007</v>
      </c>
      <c r="I20" s="33">
        <f t="shared" si="3"/>
        <v>46731.344849999994</v>
      </c>
      <c r="J20" s="33">
        <f t="shared" si="3"/>
        <v>33926.335519999993</v>
      </c>
      <c r="K20" s="33">
        <f t="shared" si="3"/>
        <v>30351.245520000004</v>
      </c>
      <c r="L20" s="33">
        <f t="shared" si="3"/>
        <v>15353.993140000002</v>
      </c>
      <c r="M20" s="33">
        <f t="shared" si="0"/>
        <v>5288.6325699999998</v>
      </c>
      <c r="N20" s="82">
        <f>SUM(N26,N32,N38,N44,N50,N56,N62,N68,N74,N80,N86,N92,N98,N104,N110)</f>
        <v>4209.3772900000004</v>
      </c>
      <c r="O20" s="33">
        <f t="shared" ref="O20" si="7">SUM(O26,O32,O38,O44,O50,O56,O62,O68,O74,O80,O86,O92,O98,O104)</f>
        <v>0</v>
      </c>
      <c r="P20" s="34">
        <f t="shared" si="3"/>
        <v>0</v>
      </c>
    </row>
    <row r="21" spans="2:20" x14ac:dyDescent="0.25">
      <c r="B21" s="122"/>
      <c r="C21" s="125"/>
      <c r="D21" s="125"/>
      <c r="E21" s="128"/>
      <c r="F21" s="36" t="s">
        <v>5</v>
      </c>
      <c r="G21" s="37">
        <f t="shared" si="2"/>
        <v>0</v>
      </c>
      <c r="H21" s="38">
        <f t="shared" si="3"/>
        <v>0</v>
      </c>
      <c r="I21" s="39">
        <f t="shared" si="3"/>
        <v>0</v>
      </c>
      <c r="J21" s="39">
        <f t="shared" si="3"/>
        <v>0</v>
      </c>
      <c r="K21" s="39">
        <f t="shared" si="3"/>
        <v>0</v>
      </c>
      <c r="L21" s="39">
        <f t="shared" si="3"/>
        <v>0</v>
      </c>
      <c r="M21" s="39">
        <f t="shared" si="0"/>
        <v>0</v>
      </c>
      <c r="N21" s="83">
        <f t="shared" si="3"/>
        <v>0</v>
      </c>
      <c r="O21" s="39">
        <f t="shared" ref="O21" si="8">SUM(O27,O33,O39,O45,O51,O57,O63,O69,O75,O81,O87,O93,O99,O105)</f>
        <v>0</v>
      </c>
      <c r="P21" s="40">
        <f t="shared" si="3"/>
        <v>0</v>
      </c>
    </row>
    <row r="22" spans="2:20" x14ac:dyDescent="0.25">
      <c r="B22" s="100" t="s">
        <v>16</v>
      </c>
      <c r="C22" s="103" t="s">
        <v>72</v>
      </c>
      <c r="D22" s="103" t="s">
        <v>87</v>
      </c>
      <c r="E22" s="106" t="s">
        <v>10</v>
      </c>
      <c r="F22" s="41" t="s">
        <v>1</v>
      </c>
      <c r="G22" s="42">
        <f t="shared" si="2"/>
        <v>421867.20197000005</v>
      </c>
      <c r="H22" s="43">
        <f>SUM(H23:H27)</f>
        <v>39281.725879999998</v>
      </c>
      <c r="I22" s="44">
        <f t="shared" ref="I22:P22" si="9">SUM(I23:I27)</f>
        <v>4007.0151000000001</v>
      </c>
      <c r="J22" s="44">
        <f t="shared" si="9"/>
        <v>18000</v>
      </c>
      <c r="K22" s="44">
        <f t="shared" si="9"/>
        <v>6900.9</v>
      </c>
      <c r="L22" s="44">
        <f t="shared" si="9"/>
        <v>6374.3743700000005</v>
      </c>
      <c r="M22" s="44">
        <f t="shared" si="9"/>
        <v>42800.312819999999</v>
      </c>
      <c r="N22" s="84">
        <f t="shared" si="9"/>
        <v>144377.28480000002</v>
      </c>
      <c r="O22" s="44">
        <f t="shared" ref="O22" si="10">SUM(O23:O27)</f>
        <v>160125.58900000001</v>
      </c>
      <c r="P22" s="45">
        <f t="shared" si="9"/>
        <v>0</v>
      </c>
      <c r="Q22" s="46"/>
      <c r="R22" s="46"/>
    </row>
    <row r="23" spans="2:20" x14ac:dyDescent="0.25">
      <c r="B23" s="101"/>
      <c r="C23" s="104"/>
      <c r="D23" s="104"/>
      <c r="E23" s="107"/>
      <c r="F23" s="47" t="s">
        <v>2</v>
      </c>
      <c r="G23" s="48">
        <f t="shared" si="2"/>
        <v>32761.85</v>
      </c>
      <c r="H23" s="49">
        <v>32761.85</v>
      </c>
      <c r="I23" s="50"/>
      <c r="J23" s="50"/>
      <c r="K23" s="50"/>
      <c r="L23" s="50"/>
      <c r="M23" s="50">
        <v>0</v>
      </c>
      <c r="N23" s="85"/>
      <c r="O23" s="50"/>
      <c r="P23" s="51"/>
    </row>
    <row r="24" spans="2:20" x14ac:dyDescent="0.25">
      <c r="B24" s="101"/>
      <c r="C24" s="104"/>
      <c r="D24" s="104"/>
      <c r="E24" s="107"/>
      <c r="F24" s="47" t="s">
        <v>3</v>
      </c>
      <c r="G24" s="48">
        <f t="shared" si="2"/>
        <v>1500</v>
      </c>
      <c r="H24" s="49">
        <v>1500</v>
      </c>
      <c r="I24" s="50"/>
      <c r="J24" s="50"/>
      <c r="K24" s="50"/>
      <c r="L24" s="50"/>
      <c r="M24" s="50">
        <v>0</v>
      </c>
      <c r="N24" s="85"/>
      <c r="O24" s="50"/>
      <c r="P24" s="51"/>
    </row>
    <row r="25" spans="2:20" x14ac:dyDescent="0.25">
      <c r="B25" s="101"/>
      <c r="C25" s="104"/>
      <c r="D25" s="104"/>
      <c r="E25" s="107"/>
      <c r="F25" s="52" t="s">
        <v>55</v>
      </c>
      <c r="G25" s="48">
        <f t="shared" si="2"/>
        <v>378383.26360000006</v>
      </c>
      <c r="H25" s="49"/>
      <c r="I25" s="50"/>
      <c r="J25" s="50">
        <v>18000</v>
      </c>
      <c r="K25" s="50">
        <v>6900.9</v>
      </c>
      <c r="L25" s="50">
        <v>6368</v>
      </c>
      <c r="M25" s="53">
        <v>42755.86709</v>
      </c>
      <c r="N25" s="85">
        <f>144358.00919-125.10168</f>
        <v>144232.90751000002</v>
      </c>
      <c r="O25" s="50">
        <v>160125.58900000001</v>
      </c>
      <c r="P25" s="51"/>
      <c r="T25" s="54"/>
    </row>
    <row r="26" spans="2:20" x14ac:dyDescent="0.25">
      <c r="B26" s="101"/>
      <c r="C26" s="104"/>
      <c r="D26" s="104"/>
      <c r="E26" s="107"/>
      <c r="F26" s="47" t="s">
        <v>4</v>
      </c>
      <c r="G26" s="48">
        <f t="shared" si="2"/>
        <v>9222.0883699999995</v>
      </c>
      <c r="H26" s="49">
        <v>5019.8758799999996</v>
      </c>
      <c r="I26" s="50">
        <v>4007.0151000000001</v>
      </c>
      <c r="J26" s="50"/>
      <c r="K26" s="50"/>
      <c r="L26" s="50">
        <v>6.3743699999999999</v>
      </c>
      <c r="M26" s="53">
        <f>2.05769+42.38804</f>
        <v>44.445729999999998</v>
      </c>
      <c r="N26" s="85">
        <f>144.50252-0.12523</f>
        <v>144.37729000000002</v>
      </c>
      <c r="O26" s="50"/>
      <c r="P26" s="51"/>
    </row>
    <row r="27" spans="2:20" x14ac:dyDescent="0.25">
      <c r="B27" s="102"/>
      <c r="C27" s="105"/>
      <c r="D27" s="105"/>
      <c r="E27" s="108"/>
      <c r="F27" s="55" t="s">
        <v>5</v>
      </c>
      <c r="G27" s="56">
        <f t="shared" si="2"/>
        <v>0</v>
      </c>
      <c r="H27" s="57"/>
      <c r="I27" s="58"/>
      <c r="J27" s="58"/>
      <c r="K27" s="58"/>
      <c r="L27" s="58"/>
      <c r="M27" s="58">
        <v>0</v>
      </c>
      <c r="N27" s="86"/>
      <c r="O27" s="58"/>
      <c r="P27" s="59"/>
    </row>
    <row r="28" spans="2:20" ht="15.75" customHeight="1" x14ac:dyDescent="0.25">
      <c r="B28" s="100" t="s">
        <v>17</v>
      </c>
      <c r="C28" s="103" t="s">
        <v>71</v>
      </c>
      <c r="D28" s="103">
        <v>2022</v>
      </c>
      <c r="E28" s="106" t="s">
        <v>10</v>
      </c>
      <c r="F28" s="41" t="s">
        <v>1</v>
      </c>
      <c r="G28" s="42">
        <f t="shared" si="2"/>
        <v>54432.554730000003</v>
      </c>
      <c r="H28" s="43">
        <f>SUM(H29:H33)</f>
        <v>0</v>
      </c>
      <c r="I28" s="44">
        <f t="shared" ref="I28:P28" si="11">SUM(I29:I33)</f>
        <v>0</v>
      </c>
      <c r="J28" s="44">
        <f t="shared" si="11"/>
        <v>0</v>
      </c>
      <c r="K28" s="44">
        <f t="shared" si="11"/>
        <v>0</v>
      </c>
      <c r="L28" s="44">
        <f t="shared" si="11"/>
        <v>54432.554730000003</v>
      </c>
      <c r="M28" s="44">
        <f t="shared" si="11"/>
        <v>0</v>
      </c>
      <c r="N28" s="84">
        <f t="shared" si="11"/>
        <v>0</v>
      </c>
      <c r="O28" s="44">
        <f t="shared" ref="O28" si="12">SUM(O29:O33)</f>
        <v>0</v>
      </c>
      <c r="P28" s="45">
        <f t="shared" si="11"/>
        <v>0</v>
      </c>
    </row>
    <row r="29" spans="2:20" x14ac:dyDescent="0.25">
      <c r="B29" s="101"/>
      <c r="C29" s="104"/>
      <c r="D29" s="104"/>
      <c r="E29" s="107"/>
      <c r="F29" s="47" t="s">
        <v>2</v>
      </c>
      <c r="G29" s="48">
        <f t="shared" si="2"/>
        <v>53888.229180000002</v>
      </c>
      <c r="H29" s="49"/>
      <c r="I29" s="50"/>
      <c r="J29" s="50"/>
      <c r="K29" s="50"/>
      <c r="L29" s="50">
        <f>53888.22918</f>
        <v>53888.229180000002</v>
      </c>
      <c r="M29" s="50">
        <v>0</v>
      </c>
      <c r="N29" s="85"/>
      <c r="O29" s="50"/>
      <c r="P29" s="51"/>
    </row>
    <row r="30" spans="2:20" x14ac:dyDescent="0.25">
      <c r="B30" s="101">
        <v>44593</v>
      </c>
      <c r="C30" s="104"/>
      <c r="D30" s="104"/>
      <c r="E30" s="107"/>
      <c r="F30" s="47" t="s">
        <v>3</v>
      </c>
      <c r="G30" s="48">
        <f t="shared" si="2"/>
        <v>544.32555000000002</v>
      </c>
      <c r="H30" s="49"/>
      <c r="I30" s="50"/>
      <c r="J30" s="50"/>
      <c r="K30" s="50"/>
      <c r="L30" s="50">
        <f>544.32555</f>
        <v>544.32555000000002</v>
      </c>
      <c r="M30" s="50">
        <v>0</v>
      </c>
      <c r="N30" s="85"/>
      <c r="O30" s="50"/>
      <c r="P30" s="51"/>
    </row>
    <row r="31" spans="2:20" x14ac:dyDescent="0.25">
      <c r="B31" s="101"/>
      <c r="C31" s="104"/>
      <c r="D31" s="104"/>
      <c r="E31" s="107"/>
      <c r="F31" s="52" t="s">
        <v>55</v>
      </c>
      <c r="G31" s="48">
        <f t="shared" si="2"/>
        <v>0</v>
      </c>
      <c r="H31" s="49"/>
      <c r="I31" s="50"/>
      <c r="J31" s="50"/>
      <c r="K31" s="50"/>
      <c r="L31" s="50"/>
      <c r="M31" s="53">
        <v>0</v>
      </c>
      <c r="N31" s="85"/>
      <c r="O31" s="50"/>
      <c r="P31" s="51"/>
    </row>
    <row r="32" spans="2:20" x14ac:dyDescent="0.25">
      <c r="B32" s="101"/>
      <c r="C32" s="104"/>
      <c r="D32" s="104"/>
      <c r="E32" s="107"/>
      <c r="F32" s="47" t="s">
        <v>4</v>
      </c>
      <c r="G32" s="48">
        <f t="shared" si="2"/>
        <v>0</v>
      </c>
      <c r="H32" s="49"/>
      <c r="I32" s="50"/>
      <c r="J32" s="50"/>
      <c r="K32" s="50"/>
      <c r="L32" s="50"/>
      <c r="M32" s="53">
        <v>0</v>
      </c>
      <c r="N32" s="85"/>
      <c r="O32" s="50"/>
      <c r="P32" s="51"/>
    </row>
    <row r="33" spans="2:16" x14ac:dyDescent="0.25">
      <c r="B33" s="102"/>
      <c r="C33" s="105"/>
      <c r="D33" s="105"/>
      <c r="E33" s="108"/>
      <c r="F33" s="55" t="s">
        <v>5</v>
      </c>
      <c r="G33" s="56">
        <f t="shared" si="2"/>
        <v>0</v>
      </c>
      <c r="H33" s="57"/>
      <c r="I33" s="58"/>
      <c r="J33" s="58"/>
      <c r="K33" s="58"/>
      <c r="L33" s="58"/>
      <c r="M33" s="58">
        <v>0</v>
      </c>
      <c r="N33" s="86"/>
      <c r="O33" s="58"/>
      <c r="P33" s="59"/>
    </row>
    <row r="34" spans="2:16" ht="15.75" customHeight="1" x14ac:dyDescent="0.25">
      <c r="B34" s="100" t="s">
        <v>18</v>
      </c>
      <c r="C34" s="103" t="s">
        <v>74</v>
      </c>
      <c r="D34" s="103" t="s">
        <v>77</v>
      </c>
      <c r="E34" s="106" t="s">
        <v>10</v>
      </c>
      <c r="F34" s="41" t="s">
        <v>1</v>
      </c>
      <c r="G34" s="42">
        <f t="shared" si="2"/>
        <v>2088.0330800000002</v>
      </c>
      <c r="H34" s="43">
        <f>SUM(H35:H39)</f>
        <v>497.53212000000002</v>
      </c>
      <c r="I34" s="44">
        <f t="shared" ref="I34:P34" si="13">SUM(I35:I39)</f>
        <v>435.11932999999999</v>
      </c>
      <c r="J34" s="44">
        <f t="shared" si="13"/>
        <v>0</v>
      </c>
      <c r="K34" s="44">
        <f t="shared" si="13"/>
        <v>138</v>
      </c>
      <c r="L34" s="44">
        <f t="shared" si="13"/>
        <v>1017.3816300000001</v>
      </c>
      <c r="M34" s="44">
        <f t="shared" si="13"/>
        <v>0</v>
      </c>
      <c r="N34" s="84">
        <f t="shared" si="13"/>
        <v>0</v>
      </c>
      <c r="O34" s="44">
        <f t="shared" ref="O34" si="14">SUM(O35:O39)</f>
        <v>0</v>
      </c>
      <c r="P34" s="45">
        <f t="shared" si="13"/>
        <v>0</v>
      </c>
    </row>
    <row r="35" spans="2:16" x14ac:dyDescent="0.25">
      <c r="B35" s="101"/>
      <c r="C35" s="104"/>
      <c r="D35" s="104"/>
      <c r="E35" s="107"/>
      <c r="F35" s="47" t="s">
        <v>2</v>
      </c>
      <c r="G35" s="48">
        <f t="shared" si="2"/>
        <v>545.50199999999995</v>
      </c>
      <c r="H35" s="49">
        <f>100+130+64.36</f>
        <v>294.36</v>
      </c>
      <c r="I35" s="50">
        <f>95+95+61.142</f>
        <v>251.142</v>
      </c>
      <c r="J35" s="50"/>
      <c r="K35" s="50"/>
      <c r="L35" s="50"/>
      <c r="M35" s="50">
        <v>0</v>
      </c>
      <c r="N35" s="85"/>
      <c r="O35" s="50"/>
      <c r="P35" s="51"/>
    </row>
    <row r="36" spans="2:16" x14ac:dyDescent="0.25">
      <c r="B36" s="101"/>
      <c r="C36" s="104"/>
      <c r="D36" s="104"/>
      <c r="E36" s="107"/>
      <c r="F36" s="47" t="s">
        <v>3</v>
      </c>
      <c r="G36" s="48">
        <f t="shared" si="2"/>
        <v>13.218</v>
      </c>
      <c r="H36" s="49"/>
      <c r="I36" s="50">
        <f>5+5+3.218</f>
        <v>13.218</v>
      </c>
      <c r="J36" s="50"/>
      <c r="K36" s="50"/>
      <c r="L36" s="50"/>
      <c r="M36" s="50">
        <v>0</v>
      </c>
      <c r="N36" s="85"/>
      <c r="O36" s="50"/>
      <c r="P36" s="51"/>
    </row>
    <row r="37" spans="2:16" x14ac:dyDescent="0.25">
      <c r="B37" s="101"/>
      <c r="C37" s="104"/>
      <c r="D37" s="104"/>
      <c r="E37" s="107"/>
      <c r="F37" s="52" t="s">
        <v>55</v>
      </c>
      <c r="G37" s="48">
        <f t="shared" si="2"/>
        <v>0</v>
      </c>
      <c r="H37" s="49"/>
      <c r="I37" s="50"/>
      <c r="J37" s="50"/>
      <c r="K37" s="50"/>
      <c r="L37" s="50"/>
      <c r="M37" s="53">
        <v>0</v>
      </c>
      <c r="N37" s="85"/>
      <c r="O37" s="50"/>
      <c r="P37" s="51"/>
    </row>
    <row r="38" spans="2:16" x14ac:dyDescent="0.25">
      <c r="B38" s="101"/>
      <c r="C38" s="104"/>
      <c r="D38" s="104"/>
      <c r="E38" s="107"/>
      <c r="F38" s="47" t="s">
        <v>4</v>
      </c>
      <c r="G38" s="48">
        <f t="shared" si="2"/>
        <v>1529.3130800000001</v>
      </c>
      <c r="H38" s="49">
        <f>103.17212+100</f>
        <v>203.17212000000001</v>
      </c>
      <c r="I38" s="50">
        <f>0.001+70.75833+100</f>
        <v>170.75933000000001</v>
      </c>
      <c r="J38" s="50"/>
      <c r="K38" s="50">
        <f>138</f>
        <v>138</v>
      </c>
      <c r="L38" s="50">
        <f>169.95563+847.426</f>
        <v>1017.3816300000001</v>
      </c>
      <c r="M38" s="53">
        <v>0</v>
      </c>
      <c r="N38" s="85"/>
      <c r="O38" s="50"/>
      <c r="P38" s="51"/>
    </row>
    <row r="39" spans="2:16" x14ac:dyDescent="0.25">
      <c r="B39" s="102"/>
      <c r="C39" s="105"/>
      <c r="D39" s="105"/>
      <c r="E39" s="108"/>
      <c r="F39" s="55" t="s">
        <v>5</v>
      </c>
      <c r="G39" s="56">
        <f t="shared" si="2"/>
        <v>0</v>
      </c>
      <c r="H39" s="57"/>
      <c r="I39" s="58"/>
      <c r="J39" s="58"/>
      <c r="K39" s="58"/>
      <c r="L39" s="58"/>
      <c r="M39" s="58">
        <v>0</v>
      </c>
      <c r="N39" s="86"/>
      <c r="O39" s="58"/>
      <c r="P39" s="59"/>
    </row>
    <row r="40" spans="2:16" ht="15.75" customHeight="1" x14ac:dyDescent="0.25">
      <c r="B40" s="100" t="s">
        <v>22</v>
      </c>
      <c r="C40" s="103" t="s">
        <v>60</v>
      </c>
      <c r="D40" s="103" t="s">
        <v>69</v>
      </c>
      <c r="E40" s="106" t="s">
        <v>10</v>
      </c>
      <c r="F40" s="41" t="s">
        <v>1</v>
      </c>
      <c r="G40" s="42">
        <f t="shared" si="2"/>
        <v>20880.605519999997</v>
      </c>
      <c r="H40" s="43">
        <f>SUM(H41:H45)</f>
        <v>0</v>
      </c>
      <c r="I40" s="44">
        <f t="shared" ref="I40:P40" si="15">SUM(I41:I45)</f>
        <v>0</v>
      </c>
      <c r="J40" s="44">
        <f t="shared" si="15"/>
        <v>250</v>
      </c>
      <c r="K40" s="44">
        <f t="shared" si="15"/>
        <v>15977.605519999999</v>
      </c>
      <c r="L40" s="44">
        <f t="shared" si="15"/>
        <v>4653</v>
      </c>
      <c r="M40" s="44">
        <f t="shared" si="15"/>
        <v>0</v>
      </c>
      <c r="N40" s="84">
        <f t="shared" si="15"/>
        <v>0</v>
      </c>
      <c r="O40" s="44">
        <f t="shared" ref="O40" si="16">SUM(O41:O45)</f>
        <v>0</v>
      </c>
      <c r="P40" s="45">
        <f t="shared" si="15"/>
        <v>0</v>
      </c>
    </row>
    <row r="41" spans="2:16" x14ac:dyDescent="0.25">
      <c r="B41" s="101"/>
      <c r="C41" s="104"/>
      <c r="D41" s="104"/>
      <c r="E41" s="107"/>
      <c r="F41" s="47" t="s">
        <v>2</v>
      </c>
      <c r="G41" s="48">
        <f t="shared" si="2"/>
        <v>0</v>
      </c>
      <c r="H41" s="49"/>
      <c r="I41" s="50"/>
      <c r="J41" s="50"/>
      <c r="K41" s="50"/>
      <c r="L41" s="50"/>
      <c r="M41" s="50">
        <v>0</v>
      </c>
      <c r="N41" s="85"/>
      <c r="O41" s="50"/>
      <c r="P41" s="51"/>
    </row>
    <row r="42" spans="2:16" x14ac:dyDescent="0.25">
      <c r="B42" s="101"/>
      <c r="C42" s="104"/>
      <c r="D42" s="104"/>
      <c r="E42" s="107"/>
      <c r="F42" s="47" t="s">
        <v>3</v>
      </c>
      <c r="G42" s="48">
        <f t="shared" si="2"/>
        <v>17793</v>
      </c>
      <c r="H42" s="49"/>
      <c r="I42" s="50"/>
      <c r="J42" s="50"/>
      <c r="K42" s="50">
        <v>15000</v>
      </c>
      <c r="L42" s="50">
        <v>2793</v>
      </c>
      <c r="M42" s="50">
        <v>0</v>
      </c>
      <c r="N42" s="85"/>
      <c r="O42" s="50"/>
      <c r="P42" s="51"/>
    </row>
    <row r="43" spans="2:16" x14ac:dyDescent="0.25">
      <c r="B43" s="101"/>
      <c r="C43" s="104"/>
      <c r="D43" s="104"/>
      <c r="E43" s="107"/>
      <c r="F43" s="52" t="s">
        <v>55</v>
      </c>
      <c r="G43" s="48">
        <f t="shared" si="2"/>
        <v>0</v>
      </c>
      <c r="H43" s="49"/>
      <c r="I43" s="50"/>
      <c r="J43" s="50"/>
      <c r="K43" s="50"/>
      <c r="L43" s="50"/>
      <c r="M43" s="53">
        <v>0</v>
      </c>
      <c r="N43" s="85"/>
      <c r="O43" s="50"/>
      <c r="P43" s="51"/>
    </row>
    <row r="44" spans="2:16" x14ac:dyDescent="0.25">
      <c r="B44" s="101"/>
      <c r="C44" s="104"/>
      <c r="D44" s="104"/>
      <c r="E44" s="107"/>
      <c r="F44" s="47" t="s">
        <v>4</v>
      </c>
      <c r="G44" s="48">
        <f t="shared" si="2"/>
        <v>3087.6055200000001</v>
      </c>
      <c r="H44" s="49"/>
      <c r="I44" s="50"/>
      <c r="J44" s="50">
        <v>250</v>
      </c>
      <c r="K44" s="50">
        <f>188.13184+789.47368</f>
        <v>977.60551999999996</v>
      </c>
      <c r="L44" s="50">
        <v>1860</v>
      </c>
      <c r="M44" s="53">
        <v>0</v>
      </c>
      <c r="N44" s="85"/>
      <c r="O44" s="50"/>
      <c r="P44" s="51"/>
    </row>
    <row r="45" spans="2:16" x14ac:dyDescent="0.25">
      <c r="B45" s="102"/>
      <c r="C45" s="105"/>
      <c r="D45" s="105"/>
      <c r="E45" s="108"/>
      <c r="F45" s="55" t="s">
        <v>5</v>
      </c>
      <c r="G45" s="56">
        <f t="shared" si="2"/>
        <v>0</v>
      </c>
      <c r="H45" s="57"/>
      <c r="I45" s="58"/>
      <c r="J45" s="58"/>
      <c r="K45" s="58"/>
      <c r="L45" s="58"/>
      <c r="M45" s="58">
        <v>0</v>
      </c>
      <c r="N45" s="86"/>
      <c r="O45" s="58"/>
      <c r="P45" s="59"/>
    </row>
    <row r="46" spans="2:16" ht="15.75" customHeight="1" x14ac:dyDescent="0.25">
      <c r="B46" s="100" t="s">
        <v>23</v>
      </c>
      <c r="C46" s="103" t="s">
        <v>29</v>
      </c>
      <c r="D46" s="103" t="s">
        <v>78</v>
      </c>
      <c r="E46" s="106" t="s">
        <v>10</v>
      </c>
      <c r="F46" s="41" t="s">
        <v>1</v>
      </c>
      <c r="G46" s="42">
        <f t="shared" si="2"/>
        <v>37282.987930000003</v>
      </c>
      <c r="H46" s="43">
        <f>SUM(H47:H51)</f>
        <v>16379.82015</v>
      </c>
      <c r="I46" s="44">
        <f t="shared" ref="I46:P46" si="17">SUM(I47:I51)</f>
        <v>0</v>
      </c>
      <c r="J46" s="44">
        <f t="shared" si="17"/>
        <v>1951.36842</v>
      </c>
      <c r="K46" s="44">
        <f t="shared" si="17"/>
        <v>12790.7</v>
      </c>
      <c r="L46" s="44">
        <f t="shared" si="17"/>
        <v>2520.4083500000002</v>
      </c>
      <c r="M46" s="44">
        <f t="shared" si="17"/>
        <v>3640.69101</v>
      </c>
      <c r="N46" s="84">
        <f t="shared" si="17"/>
        <v>0</v>
      </c>
      <c r="O46" s="44">
        <f t="shared" ref="O46" si="18">SUM(O47:O51)</f>
        <v>0</v>
      </c>
      <c r="P46" s="45">
        <f t="shared" si="17"/>
        <v>0</v>
      </c>
    </row>
    <row r="47" spans="2:16" x14ac:dyDescent="0.25">
      <c r="B47" s="101"/>
      <c r="C47" s="104"/>
      <c r="D47" s="104"/>
      <c r="E47" s="107"/>
      <c r="F47" s="47" t="s">
        <v>2</v>
      </c>
      <c r="G47" s="48">
        <f t="shared" si="2"/>
        <v>0</v>
      </c>
      <c r="H47" s="49"/>
      <c r="I47" s="50"/>
      <c r="J47" s="50"/>
      <c r="K47" s="50"/>
      <c r="L47" s="50"/>
      <c r="M47" s="50">
        <v>0</v>
      </c>
      <c r="N47" s="85"/>
      <c r="O47" s="50"/>
      <c r="P47" s="51"/>
    </row>
    <row r="48" spans="2:16" x14ac:dyDescent="0.25">
      <c r="B48" s="101"/>
      <c r="C48" s="104"/>
      <c r="D48" s="104"/>
      <c r="E48" s="107"/>
      <c r="F48" s="47" t="s">
        <v>3</v>
      </c>
      <c r="G48" s="48">
        <f t="shared" si="2"/>
        <v>1853.8</v>
      </c>
      <c r="H48" s="49"/>
      <c r="I48" s="50"/>
      <c r="J48" s="50">
        <v>1853.8</v>
      </c>
      <c r="K48" s="50"/>
      <c r="L48" s="50"/>
      <c r="M48" s="50">
        <v>0</v>
      </c>
      <c r="N48" s="85"/>
      <c r="O48" s="50"/>
      <c r="P48" s="51"/>
    </row>
    <row r="49" spans="2:16" x14ac:dyDescent="0.25">
      <c r="B49" s="101"/>
      <c r="C49" s="104"/>
      <c r="D49" s="104"/>
      <c r="E49" s="107"/>
      <c r="F49" s="52" t="s">
        <v>55</v>
      </c>
      <c r="G49" s="48">
        <f t="shared" si="2"/>
        <v>0</v>
      </c>
      <c r="H49" s="49"/>
      <c r="I49" s="50"/>
      <c r="J49" s="50"/>
      <c r="K49" s="50"/>
      <c r="L49" s="50"/>
      <c r="M49" s="53">
        <v>0</v>
      </c>
      <c r="N49" s="85"/>
      <c r="O49" s="50"/>
      <c r="P49" s="51"/>
    </row>
    <row r="50" spans="2:16" x14ac:dyDescent="0.25">
      <c r="B50" s="101"/>
      <c r="C50" s="104"/>
      <c r="D50" s="104"/>
      <c r="E50" s="107"/>
      <c r="F50" s="47" t="s">
        <v>4</v>
      </c>
      <c r="G50" s="48">
        <f t="shared" si="2"/>
        <v>35429.18793</v>
      </c>
      <c r="H50" s="49">
        <f>6112.74+5801.40796+4465.67219</f>
        <v>16379.82015</v>
      </c>
      <c r="I50" s="50"/>
      <c r="J50" s="50">
        <v>97.568420000000003</v>
      </c>
      <c r="K50" s="50">
        <f>12790.7</f>
        <v>12790.7</v>
      </c>
      <c r="L50" s="50">
        <v>2520.4083500000002</v>
      </c>
      <c r="M50" s="53">
        <f>2388.46888+1252.22213</f>
        <v>3640.69101</v>
      </c>
      <c r="N50" s="85"/>
      <c r="O50" s="50"/>
      <c r="P50" s="51"/>
    </row>
    <row r="51" spans="2:16" x14ac:dyDescent="0.25">
      <c r="B51" s="102"/>
      <c r="C51" s="105"/>
      <c r="D51" s="105"/>
      <c r="E51" s="108"/>
      <c r="F51" s="55" t="s">
        <v>5</v>
      </c>
      <c r="G51" s="56">
        <f t="shared" si="2"/>
        <v>0</v>
      </c>
      <c r="H51" s="57"/>
      <c r="I51" s="58"/>
      <c r="J51" s="58"/>
      <c r="K51" s="58"/>
      <c r="L51" s="58"/>
      <c r="M51" s="58">
        <v>0</v>
      </c>
      <c r="N51" s="86"/>
      <c r="O51" s="58"/>
      <c r="P51" s="59"/>
    </row>
    <row r="52" spans="2:16" ht="15.75" customHeight="1" x14ac:dyDescent="0.25">
      <c r="B52" s="100" t="s">
        <v>24</v>
      </c>
      <c r="C52" s="103" t="s">
        <v>52</v>
      </c>
      <c r="D52" s="103" t="s">
        <v>75</v>
      </c>
      <c r="E52" s="106" t="s">
        <v>10</v>
      </c>
      <c r="F52" s="41" t="s">
        <v>1</v>
      </c>
      <c r="G52" s="42">
        <f t="shared" si="2"/>
        <v>33991.438549999999</v>
      </c>
      <c r="H52" s="43">
        <f>SUM(H53:H57)</f>
        <v>4426.9140000000007</v>
      </c>
      <c r="I52" s="44">
        <f t="shared" ref="I52:P52" si="19">SUM(I53:I57)</f>
        <v>13915.910550000001</v>
      </c>
      <c r="J52" s="44">
        <f t="shared" si="19"/>
        <v>15648.613999999996</v>
      </c>
      <c r="K52" s="44">
        <f t="shared" si="19"/>
        <v>0</v>
      </c>
      <c r="L52" s="44">
        <f t="shared" si="19"/>
        <v>0</v>
      </c>
      <c r="M52" s="44">
        <f t="shared" si="19"/>
        <v>0</v>
      </c>
      <c r="N52" s="84">
        <f t="shared" si="19"/>
        <v>0</v>
      </c>
      <c r="O52" s="44">
        <f t="shared" ref="O52" si="20">SUM(O53:O57)</f>
        <v>0</v>
      </c>
      <c r="P52" s="45">
        <f t="shared" si="19"/>
        <v>0</v>
      </c>
    </row>
    <row r="53" spans="2:16" x14ac:dyDescent="0.25">
      <c r="B53" s="101"/>
      <c r="C53" s="104"/>
      <c r="D53" s="104"/>
      <c r="E53" s="107"/>
      <c r="F53" s="47" t="s">
        <v>2</v>
      </c>
      <c r="G53" s="48">
        <f t="shared" si="2"/>
        <v>0</v>
      </c>
      <c r="H53" s="49"/>
      <c r="I53" s="50"/>
      <c r="J53" s="50"/>
      <c r="K53" s="50"/>
      <c r="L53" s="50"/>
      <c r="M53" s="50">
        <v>0</v>
      </c>
      <c r="N53" s="85"/>
      <c r="O53" s="50"/>
      <c r="P53" s="51"/>
    </row>
    <row r="54" spans="2:16" x14ac:dyDescent="0.25">
      <c r="B54" s="101"/>
      <c r="C54" s="104"/>
      <c r="D54" s="104"/>
      <c r="E54" s="107"/>
      <c r="F54" s="47" t="s">
        <v>3</v>
      </c>
      <c r="G54" s="48">
        <f t="shared" si="2"/>
        <v>0</v>
      </c>
      <c r="H54" s="49"/>
      <c r="I54" s="50"/>
      <c r="J54" s="50"/>
      <c r="K54" s="50"/>
      <c r="L54" s="50"/>
      <c r="M54" s="50">
        <v>0</v>
      </c>
      <c r="N54" s="85"/>
      <c r="O54" s="50"/>
      <c r="P54" s="51"/>
    </row>
    <row r="55" spans="2:16" x14ac:dyDescent="0.25">
      <c r="B55" s="101"/>
      <c r="C55" s="104"/>
      <c r="D55" s="104"/>
      <c r="E55" s="107"/>
      <c r="F55" s="52" t="s">
        <v>55</v>
      </c>
      <c r="G55" s="48">
        <f t="shared" si="2"/>
        <v>0</v>
      </c>
      <c r="H55" s="49"/>
      <c r="I55" s="50"/>
      <c r="J55" s="50"/>
      <c r="K55" s="50"/>
      <c r="L55" s="50"/>
      <c r="M55" s="53">
        <v>0</v>
      </c>
      <c r="N55" s="85"/>
      <c r="O55" s="50"/>
      <c r="P55" s="51"/>
    </row>
    <row r="56" spans="2:16" x14ac:dyDescent="0.25">
      <c r="B56" s="101"/>
      <c r="C56" s="104"/>
      <c r="D56" s="104"/>
      <c r="E56" s="107"/>
      <c r="F56" s="47" t="s">
        <v>4</v>
      </c>
      <c r="G56" s="48">
        <f t="shared" si="2"/>
        <v>33991.438549999999</v>
      </c>
      <c r="H56" s="49">
        <f>3233.93+100+36+67.479+96.424+99.599+96.804+96.804+99.979+99.979+99.979+99.979+99.979+99.979</f>
        <v>4426.9140000000007</v>
      </c>
      <c r="I56" s="50">
        <f>3020.45981+7244.24874+80.725+80.725+77.625+84.375+77.355+84.375+84.375+84.375+81.945+79.785+85.59+1464.362+85.59+1200</f>
        <v>13915.910550000001</v>
      </c>
      <c r="J56" s="50">
        <f>82.912+549.987+12684.983+139.764+139.764+137.801+137.801+137.801+137.801+1500</f>
        <v>15648.613999999996</v>
      </c>
      <c r="K56" s="50"/>
      <c r="L56" s="50"/>
      <c r="M56" s="53">
        <v>0</v>
      </c>
      <c r="N56" s="85"/>
      <c r="O56" s="50"/>
      <c r="P56" s="51"/>
    </row>
    <row r="57" spans="2:16" x14ac:dyDescent="0.25">
      <c r="B57" s="102"/>
      <c r="C57" s="105"/>
      <c r="D57" s="105"/>
      <c r="E57" s="108"/>
      <c r="F57" s="55" t="s">
        <v>5</v>
      </c>
      <c r="G57" s="56">
        <f t="shared" si="2"/>
        <v>0</v>
      </c>
      <c r="H57" s="57"/>
      <c r="I57" s="58"/>
      <c r="J57" s="58"/>
      <c r="K57" s="58"/>
      <c r="L57" s="58"/>
      <c r="M57" s="58">
        <v>0</v>
      </c>
      <c r="N57" s="86"/>
      <c r="O57" s="58"/>
      <c r="P57" s="59"/>
    </row>
    <row r="58" spans="2:16" ht="15.75" customHeight="1" x14ac:dyDescent="0.25">
      <c r="B58" s="100" t="s">
        <v>25</v>
      </c>
      <c r="C58" s="103" t="s">
        <v>59</v>
      </c>
      <c r="D58" s="103" t="s">
        <v>49</v>
      </c>
      <c r="E58" s="106" t="s">
        <v>10</v>
      </c>
      <c r="F58" s="41" t="s">
        <v>1</v>
      </c>
      <c r="G58" s="42">
        <f t="shared" si="2"/>
        <v>4760.8014999999996</v>
      </c>
      <c r="H58" s="43">
        <f>SUM(H59:H63)</f>
        <v>0</v>
      </c>
      <c r="I58" s="44">
        <f t="shared" ref="I58:P58" si="21">SUM(I59:I63)</f>
        <v>4057.2203799999997</v>
      </c>
      <c r="J58" s="44">
        <f t="shared" si="21"/>
        <v>703.58112000000006</v>
      </c>
      <c r="K58" s="44">
        <f t="shared" si="21"/>
        <v>0</v>
      </c>
      <c r="L58" s="44">
        <f t="shared" si="21"/>
        <v>0</v>
      </c>
      <c r="M58" s="44">
        <f t="shared" si="21"/>
        <v>0</v>
      </c>
      <c r="N58" s="84">
        <f t="shared" si="21"/>
        <v>0</v>
      </c>
      <c r="O58" s="44">
        <f t="shared" ref="O58" si="22">SUM(O59:O63)</f>
        <v>0</v>
      </c>
      <c r="P58" s="45">
        <f t="shared" si="21"/>
        <v>0</v>
      </c>
    </row>
    <row r="59" spans="2:16" x14ac:dyDescent="0.25">
      <c r="B59" s="101"/>
      <c r="C59" s="104"/>
      <c r="D59" s="104"/>
      <c r="E59" s="107"/>
      <c r="F59" s="47" t="s">
        <v>2</v>
      </c>
      <c r="G59" s="48">
        <f t="shared" si="2"/>
        <v>0</v>
      </c>
      <c r="H59" s="49"/>
      <c r="I59" s="50"/>
      <c r="J59" s="50"/>
      <c r="K59" s="50"/>
      <c r="L59" s="50"/>
      <c r="M59" s="50">
        <v>0</v>
      </c>
      <c r="N59" s="85"/>
      <c r="O59" s="50"/>
      <c r="P59" s="51"/>
    </row>
    <row r="60" spans="2:16" x14ac:dyDescent="0.25">
      <c r="B60" s="101"/>
      <c r="C60" s="104"/>
      <c r="D60" s="104"/>
      <c r="E60" s="107"/>
      <c r="F60" s="47" t="s">
        <v>3</v>
      </c>
      <c r="G60" s="48">
        <f t="shared" si="2"/>
        <v>0</v>
      </c>
      <c r="H60" s="49"/>
      <c r="I60" s="50"/>
      <c r="J60" s="50"/>
      <c r="K60" s="50"/>
      <c r="L60" s="50"/>
      <c r="M60" s="50">
        <v>0</v>
      </c>
      <c r="N60" s="85"/>
      <c r="O60" s="50"/>
      <c r="P60" s="51"/>
    </row>
    <row r="61" spans="2:16" x14ac:dyDescent="0.25">
      <c r="B61" s="101"/>
      <c r="C61" s="104"/>
      <c r="D61" s="104"/>
      <c r="E61" s="107"/>
      <c r="F61" s="52" t="s">
        <v>55</v>
      </c>
      <c r="G61" s="48">
        <f t="shared" si="2"/>
        <v>0</v>
      </c>
      <c r="H61" s="49"/>
      <c r="I61" s="50"/>
      <c r="J61" s="50"/>
      <c r="K61" s="50"/>
      <c r="L61" s="50"/>
      <c r="M61" s="53">
        <v>0</v>
      </c>
      <c r="N61" s="85"/>
      <c r="O61" s="50"/>
      <c r="P61" s="51"/>
    </row>
    <row r="62" spans="2:16" x14ac:dyDescent="0.25">
      <c r="B62" s="101"/>
      <c r="C62" s="104"/>
      <c r="D62" s="104"/>
      <c r="E62" s="107"/>
      <c r="F62" s="47" t="s">
        <v>4</v>
      </c>
      <c r="G62" s="48">
        <f t="shared" si="2"/>
        <v>4760.8014999999996</v>
      </c>
      <c r="H62" s="49"/>
      <c r="I62" s="50">
        <f>406.29275+3551.98523+98.9424</f>
        <v>4057.2203799999997</v>
      </c>
      <c r="J62" s="50">
        <f>445.08742+258.4937</f>
        <v>703.58112000000006</v>
      </c>
      <c r="K62" s="50"/>
      <c r="L62" s="50"/>
      <c r="M62" s="53">
        <v>0</v>
      </c>
      <c r="N62" s="85"/>
      <c r="O62" s="50"/>
      <c r="P62" s="51"/>
    </row>
    <row r="63" spans="2:16" x14ac:dyDescent="0.25">
      <c r="B63" s="102"/>
      <c r="C63" s="105"/>
      <c r="D63" s="105"/>
      <c r="E63" s="108"/>
      <c r="F63" s="55" t="s">
        <v>5</v>
      </c>
      <c r="G63" s="56">
        <f t="shared" si="2"/>
        <v>0</v>
      </c>
      <c r="H63" s="57"/>
      <c r="I63" s="58"/>
      <c r="J63" s="58"/>
      <c r="K63" s="58"/>
      <c r="L63" s="58"/>
      <c r="M63" s="58">
        <v>0</v>
      </c>
      <c r="N63" s="86"/>
      <c r="O63" s="58"/>
      <c r="P63" s="59"/>
    </row>
    <row r="64" spans="2:16" ht="15.75" customHeight="1" x14ac:dyDescent="0.25">
      <c r="B64" s="100" t="s">
        <v>26</v>
      </c>
      <c r="C64" s="103" t="s">
        <v>33</v>
      </c>
      <c r="D64" s="103" t="s">
        <v>79</v>
      </c>
      <c r="E64" s="106" t="s">
        <v>10</v>
      </c>
      <c r="F64" s="41" t="s">
        <v>1</v>
      </c>
      <c r="G64" s="42">
        <f t="shared" si="2"/>
        <v>18344.636770000001</v>
      </c>
      <c r="H64" s="43">
        <f>SUM(H65:H69)</f>
        <v>7577.2937700000002</v>
      </c>
      <c r="I64" s="44">
        <f t="shared" ref="I64:P64" si="23">SUM(I65:I69)</f>
        <v>0</v>
      </c>
      <c r="J64" s="44">
        <f t="shared" si="23"/>
        <v>6197.3429999999998</v>
      </c>
      <c r="K64" s="44">
        <f t="shared" si="23"/>
        <v>4570</v>
      </c>
      <c r="L64" s="44">
        <f t="shared" si="23"/>
        <v>0</v>
      </c>
      <c r="M64" s="44">
        <f t="shared" si="23"/>
        <v>0</v>
      </c>
      <c r="N64" s="84">
        <f t="shared" si="23"/>
        <v>0</v>
      </c>
      <c r="O64" s="44">
        <f t="shared" ref="O64" si="24">SUM(O65:O69)</f>
        <v>0</v>
      </c>
      <c r="P64" s="45">
        <f t="shared" si="23"/>
        <v>0</v>
      </c>
    </row>
    <row r="65" spans="2:19" x14ac:dyDescent="0.25">
      <c r="B65" s="101"/>
      <c r="C65" s="104"/>
      <c r="D65" s="104"/>
      <c r="E65" s="107"/>
      <c r="F65" s="47" t="s">
        <v>2</v>
      </c>
      <c r="G65" s="48">
        <f t="shared" si="2"/>
        <v>0</v>
      </c>
      <c r="H65" s="49"/>
      <c r="I65" s="50"/>
      <c r="J65" s="50"/>
      <c r="K65" s="50"/>
      <c r="L65" s="50"/>
      <c r="M65" s="50">
        <v>0</v>
      </c>
      <c r="N65" s="85"/>
      <c r="O65" s="50"/>
      <c r="P65" s="51"/>
    </row>
    <row r="66" spans="2:19" x14ac:dyDescent="0.25">
      <c r="B66" s="101"/>
      <c r="C66" s="104"/>
      <c r="D66" s="104"/>
      <c r="E66" s="107"/>
      <c r="F66" s="47" t="s">
        <v>3</v>
      </c>
      <c r="G66" s="48">
        <f t="shared" si="2"/>
        <v>0</v>
      </c>
      <c r="H66" s="49"/>
      <c r="I66" s="50"/>
      <c r="J66" s="50"/>
      <c r="K66" s="50"/>
      <c r="L66" s="50"/>
      <c r="M66" s="50">
        <v>0</v>
      </c>
      <c r="N66" s="85"/>
      <c r="O66" s="50"/>
      <c r="P66" s="51"/>
    </row>
    <row r="67" spans="2:19" x14ac:dyDescent="0.25">
      <c r="B67" s="101"/>
      <c r="C67" s="104"/>
      <c r="D67" s="104"/>
      <c r="E67" s="107"/>
      <c r="F67" s="52" t="s">
        <v>55</v>
      </c>
      <c r="G67" s="48">
        <f t="shared" si="2"/>
        <v>0</v>
      </c>
      <c r="H67" s="49"/>
      <c r="I67" s="50"/>
      <c r="J67" s="50"/>
      <c r="K67" s="50"/>
      <c r="L67" s="50"/>
      <c r="M67" s="53">
        <v>0</v>
      </c>
      <c r="N67" s="85"/>
      <c r="O67" s="50"/>
      <c r="P67" s="51"/>
    </row>
    <row r="68" spans="2:19" x14ac:dyDescent="0.25">
      <c r="B68" s="101"/>
      <c r="C68" s="104"/>
      <c r="D68" s="104"/>
      <c r="E68" s="107"/>
      <c r="F68" s="47" t="s">
        <v>4</v>
      </c>
      <c r="G68" s="48">
        <f t="shared" si="2"/>
        <v>18344.636770000001</v>
      </c>
      <c r="H68" s="49">
        <v>7577.2937700000002</v>
      </c>
      <c r="I68" s="50"/>
      <c r="J68" s="50">
        <f>5000+1702.753-505.41</f>
        <v>6197.3429999999998</v>
      </c>
      <c r="K68" s="50">
        <f>4400+170</f>
        <v>4570</v>
      </c>
      <c r="L68" s="50"/>
      <c r="M68" s="53">
        <v>0</v>
      </c>
      <c r="N68" s="85"/>
      <c r="O68" s="50"/>
      <c r="P68" s="51"/>
    </row>
    <row r="69" spans="2:19" x14ac:dyDescent="0.25">
      <c r="B69" s="102"/>
      <c r="C69" s="105"/>
      <c r="D69" s="105"/>
      <c r="E69" s="108"/>
      <c r="F69" s="55" t="s">
        <v>5</v>
      </c>
      <c r="G69" s="56">
        <f t="shared" si="2"/>
        <v>0</v>
      </c>
      <c r="H69" s="57"/>
      <c r="I69" s="58"/>
      <c r="J69" s="58"/>
      <c r="K69" s="58"/>
      <c r="L69" s="58"/>
      <c r="M69" s="58">
        <v>0</v>
      </c>
      <c r="N69" s="86"/>
      <c r="O69" s="58"/>
      <c r="P69" s="59"/>
    </row>
    <row r="70" spans="2:19" ht="15.75" customHeight="1" x14ac:dyDescent="0.25">
      <c r="B70" s="100" t="s">
        <v>27</v>
      </c>
      <c r="C70" s="103" t="s">
        <v>47</v>
      </c>
      <c r="D70" s="103" t="s">
        <v>80</v>
      </c>
      <c r="E70" s="106" t="s">
        <v>10</v>
      </c>
      <c r="F70" s="41" t="s">
        <v>1</v>
      </c>
      <c r="G70" s="42">
        <f t="shared" si="2"/>
        <v>21302.003230000002</v>
      </c>
      <c r="H70" s="43">
        <f>SUM(H71:H75)</f>
        <v>4121.1333199999999</v>
      </c>
      <c r="I70" s="44">
        <f t="shared" ref="I70:P70" si="25">SUM(I71:I75)</f>
        <v>3607.9639099999999</v>
      </c>
      <c r="J70" s="44">
        <f t="shared" si="25"/>
        <v>0</v>
      </c>
      <c r="K70" s="44">
        <f t="shared" si="25"/>
        <v>5104.9400000000005</v>
      </c>
      <c r="L70" s="44">
        <f t="shared" si="25"/>
        <v>8467.9660000000003</v>
      </c>
      <c r="M70" s="44">
        <f t="shared" si="25"/>
        <v>0</v>
      </c>
      <c r="N70" s="84">
        <f t="shared" si="25"/>
        <v>0</v>
      </c>
      <c r="O70" s="44">
        <f t="shared" ref="O70" si="26">SUM(O71:O75)</f>
        <v>0</v>
      </c>
      <c r="P70" s="45">
        <f t="shared" si="25"/>
        <v>0</v>
      </c>
    </row>
    <row r="71" spans="2:19" x14ac:dyDescent="0.25">
      <c r="B71" s="101"/>
      <c r="C71" s="104"/>
      <c r="D71" s="104"/>
      <c r="E71" s="107"/>
      <c r="F71" s="47" t="s">
        <v>2</v>
      </c>
      <c r="G71" s="48">
        <f t="shared" si="2"/>
        <v>0</v>
      </c>
      <c r="H71" s="49"/>
      <c r="I71" s="50"/>
      <c r="J71" s="50"/>
      <c r="K71" s="50"/>
      <c r="L71" s="50"/>
      <c r="M71" s="50">
        <v>0</v>
      </c>
      <c r="N71" s="85"/>
      <c r="O71" s="50"/>
      <c r="P71" s="51"/>
    </row>
    <row r="72" spans="2:19" x14ac:dyDescent="0.25">
      <c r="B72" s="101"/>
      <c r="C72" s="104"/>
      <c r="D72" s="104"/>
      <c r="E72" s="107"/>
      <c r="F72" s="47" t="s">
        <v>3</v>
      </c>
      <c r="G72" s="48">
        <f t="shared" si="2"/>
        <v>0</v>
      </c>
      <c r="H72" s="49"/>
      <c r="I72" s="50"/>
      <c r="J72" s="50"/>
      <c r="K72" s="50"/>
      <c r="L72" s="50"/>
      <c r="M72" s="50">
        <v>0</v>
      </c>
      <c r="N72" s="85"/>
      <c r="O72" s="50"/>
      <c r="P72" s="51"/>
    </row>
    <row r="73" spans="2:19" x14ac:dyDescent="0.25">
      <c r="B73" s="101"/>
      <c r="C73" s="104"/>
      <c r="D73" s="104"/>
      <c r="E73" s="107"/>
      <c r="F73" s="52" t="s">
        <v>55</v>
      </c>
      <c r="G73" s="48">
        <f t="shared" si="2"/>
        <v>0</v>
      </c>
      <c r="H73" s="49"/>
      <c r="I73" s="50"/>
      <c r="J73" s="50"/>
      <c r="K73" s="50"/>
      <c r="L73" s="50"/>
      <c r="M73" s="53">
        <v>0</v>
      </c>
      <c r="N73" s="85"/>
      <c r="O73" s="50"/>
      <c r="P73" s="51"/>
    </row>
    <row r="74" spans="2:19" x14ac:dyDescent="0.25">
      <c r="B74" s="101"/>
      <c r="C74" s="104"/>
      <c r="D74" s="104"/>
      <c r="E74" s="107"/>
      <c r="F74" s="47" t="s">
        <v>4</v>
      </c>
      <c r="G74" s="48">
        <f t="shared" si="2"/>
        <v>21302.003230000002</v>
      </c>
      <c r="H74" s="49">
        <v>4121.1333199999999</v>
      </c>
      <c r="I74" s="50">
        <v>3607.9639099999999</v>
      </c>
      <c r="J74" s="50"/>
      <c r="K74" s="50">
        <f>3322.94+1782</f>
        <v>5104.9400000000005</v>
      </c>
      <c r="L74" s="50">
        <f>8467.966</f>
        <v>8467.9660000000003</v>
      </c>
      <c r="M74" s="53">
        <v>0</v>
      </c>
      <c r="N74" s="85"/>
      <c r="O74" s="50"/>
      <c r="P74" s="51"/>
    </row>
    <row r="75" spans="2:19" x14ac:dyDescent="0.25">
      <c r="B75" s="102"/>
      <c r="C75" s="105"/>
      <c r="D75" s="105"/>
      <c r="E75" s="108"/>
      <c r="F75" s="55" t="s">
        <v>5</v>
      </c>
      <c r="G75" s="56">
        <f t="shared" si="2"/>
        <v>0</v>
      </c>
      <c r="H75" s="57"/>
      <c r="I75" s="58"/>
      <c r="J75" s="58"/>
      <c r="K75" s="58"/>
      <c r="L75" s="58"/>
      <c r="M75" s="58">
        <v>0</v>
      </c>
      <c r="N75" s="86"/>
      <c r="O75" s="58"/>
      <c r="P75" s="59"/>
    </row>
    <row r="76" spans="2:19" ht="15.75" customHeight="1" x14ac:dyDescent="0.25">
      <c r="B76" s="100" t="s">
        <v>28</v>
      </c>
      <c r="C76" s="103" t="s">
        <v>76</v>
      </c>
      <c r="D76" s="103" t="s">
        <v>90</v>
      </c>
      <c r="E76" s="106" t="s">
        <v>10</v>
      </c>
      <c r="F76" s="41" t="s">
        <v>1</v>
      </c>
      <c r="G76" s="42">
        <f t="shared" si="2"/>
        <v>7211.2613899999997</v>
      </c>
      <c r="H76" s="43">
        <f>SUM(H77:H81)</f>
        <v>878.86668000000009</v>
      </c>
      <c r="I76" s="44">
        <f t="shared" ref="I76:P76" si="27">SUM(I77:I81)</f>
        <v>392.03609</v>
      </c>
      <c r="J76" s="44">
        <f t="shared" si="27"/>
        <v>0</v>
      </c>
      <c r="K76" s="44">
        <f t="shared" si="27"/>
        <v>0</v>
      </c>
      <c r="L76" s="44">
        <f t="shared" si="27"/>
        <v>1336.8627900000001</v>
      </c>
      <c r="M76" s="44">
        <f t="shared" si="27"/>
        <v>1603.4958299999998</v>
      </c>
      <c r="N76" s="84">
        <f t="shared" si="27"/>
        <v>3000</v>
      </c>
      <c r="O76" s="44">
        <f t="shared" ref="O76" si="28">SUM(O77:O81)</f>
        <v>0</v>
      </c>
      <c r="P76" s="45">
        <f t="shared" si="27"/>
        <v>0</v>
      </c>
    </row>
    <row r="77" spans="2:19" x14ac:dyDescent="0.25">
      <c r="B77" s="101"/>
      <c r="C77" s="104"/>
      <c r="D77" s="104"/>
      <c r="E77" s="107"/>
      <c r="F77" s="47" t="s">
        <v>2</v>
      </c>
      <c r="G77" s="48">
        <f t="shared" si="2"/>
        <v>0</v>
      </c>
      <c r="H77" s="49"/>
      <c r="I77" s="50"/>
      <c r="J77" s="50"/>
      <c r="K77" s="50"/>
      <c r="L77" s="50"/>
      <c r="M77" s="50">
        <v>0</v>
      </c>
      <c r="N77" s="85"/>
      <c r="O77" s="50"/>
      <c r="P77" s="51"/>
    </row>
    <row r="78" spans="2:19" x14ac:dyDescent="0.25">
      <c r="B78" s="101"/>
      <c r="C78" s="104"/>
      <c r="D78" s="104"/>
      <c r="E78" s="107"/>
      <c r="F78" s="47" t="s">
        <v>3</v>
      </c>
      <c r="G78" s="48">
        <f t="shared" si="2"/>
        <v>0</v>
      </c>
      <c r="H78" s="49"/>
      <c r="I78" s="50"/>
      <c r="J78" s="50"/>
      <c r="K78" s="50"/>
      <c r="L78" s="50"/>
      <c r="M78" s="50">
        <v>0</v>
      </c>
      <c r="N78" s="85"/>
      <c r="O78" s="50"/>
      <c r="P78" s="51"/>
    </row>
    <row r="79" spans="2:19" x14ac:dyDescent="0.25">
      <c r="B79" s="101"/>
      <c r="C79" s="104"/>
      <c r="D79" s="104"/>
      <c r="E79" s="107"/>
      <c r="F79" s="52" t="s">
        <v>55</v>
      </c>
      <c r="G79" s="48">
        <f t="shared" si="2"/>
        <v>0</v>
      </c>
      <c r="H79" s="49"/>
      <c r="I79" s="50"/>
      <c r="J79" s="50"/>
      <c r="K79" s="50"/>
      <c r="L79" s="50"/>
      <c r="M79" s="53">
        <v>0</v>
      </c>
      <c r="N79" s="85"/>
      <c r="O79" s="50"/>
      <c r="P79" s="51"/>
    </row>
    <row r="80" spans="2:19" x14ac:dyDescent="0.25">
      <c r="B80" s="101"/>
      <c r="C80" s="104"/>
      <c r="D80" s="104"/>
      <c r="E80" s="107"/>
      <c r="F80" s="47" t="s">
        <v>4</v>
      </c>
      <c r="G80" s="48">
        <f t="shared" si="2"/>
        <v>7211.2613899999997</v>
      </c>
      <c r="H80" s="49">
        <f>19.13578+16.57411+21.13074+26.81865+65.76411+50.39819+99.84087+52.82672+49.98097+47.40842+94.59977+99.78768+99.53265+73.2708+61.79722</f>
        <v>878.86668000000009</v>
      </c>
      <c r="I80" s="50">
        <f>48.66474+94.91821+42.73056+66.46968+51.95318+27.94666+35.81234+4.84775+7.31891+11.37406</f>
        <v>392.03609</v>
      </c>
      <c r="J80" s="50"/>
      <c r="K80" s="50"/>
      <c r="L80" s="50">
        <f>1691.5-354.63721</f>
        <v>1336.8627900000001</v>
      </c>
      <c r="M80" s="53">
        <v>1603.4958299999998</v>
      </c>
      <c r="N80" s="85">
        <v>3000</v>
      </c>
      <c r="O80" s="50"/>
      <c r="P80" s="51"/>
      <c r="S80" s="54"/>
    </row>
    <row r="81" spans="2:16" x14ac:dyDescent="0.25">
      <c r="B81" s="102"/>
      <c r="C81" s="105"/>
      <c r="D81" s="105"/>
      <c r="E81" s="108"/>
      <c r="F81" s="55" t="s">
        <v>5</v>
      </c>
      <c r="G81" s="56">
        <f t="shared" ref="G81:G150" si="29">SUM(H81:P81)</f>
        <v>0</v>
      </c>
      <c r="H81" s="57"/>
      <c r="I81" s="58"/>
      <c r="J81" s="58"/>
      <c r="K81" s="58"/>
      <c r="L81" s="58"/>
      <c r="M81" s="58">
        <v>0</v>
      </c>
      <c r="N81" s="86"/>
      <c r="O81" s="58"/>
      <c r="P81" s="59"/>
    </row>
    <row r="82" spans="2:16" ht="15.75" customHeight="1" x14ac:dyDescent="0.25">
      <c r="B82" s="100" t="s">
        <v>30</v>
      </c>
      <c r="C82" s="103" t="s">
        <v>34</v>
      </c>
      <c r="D82" s="103" t="s">
        <v>66</v>
      </c>
      <c r="E82" s="106" t="s">
        <v>20</v>
      </c>
      <c r="F82" s="41" t="s">
        <v>1</v>
      </c>
      <c r="G82" s="42">
        <f t="shared" si="29"/>
        <v>40415.391579999996</v>
      </c>
      <c r="H82" s="43">
        <f>SUM(H83:H87)</f>
        <v>8334.3835199999994</v>
      </c>
      <c r="I82" s="44">
        <f t="shared" ref="I82:P82" si="30">SUM(I83:I87)</f>
        <v>16806.334489999997</v>
      </c>
      <c r="J82" s="44">
        <f t="shared" si="30"/>
        <v>9304.6735700000008</v>
      </c>
      <c r="K82" s="44">
        <f t="shared" si="30"/>
        <v>5970</v>
      </c>
      <c r="L82" s="44">
        <f t="shared" si="30"/>
        <v>0</v>
      </c>
      <c r="M82" s="44">
        <f t="shared" si="30"/>
        <v>0</v>
      </c>
      <c r="N82" s="84">
        <f t="shared" si="30"/>
        <v>0</v>
      </c>
      <c r="O82" s="44">
        <f t="shared" ref="O82" si="31">SUM(O83:O87)</f>
        <v>0</v>
      </c>
      <c r="P82" s="45">
        <f t="shared" si="30"/>
        <v>0</v>
      </c>
    </row>
    <row r="83" spans="2:16" x14ac:dyDescent="0.25">
      <c r="B83" s="101"/>
      <c r="C83" s="104"/>
      <c r="D83" s="104"/>
      <c r="E83" s="107"/>
      <c r="F83" s="47" t="s">
        <v>2</v>
      </c>
      <c r="G83" s="48">
        <f t="shared" si="29"/>
        <v>0</v>
      </c>
      <c r="H83" s="49"/>
      <c r="I83" s="50"/>
      <c r="J83" s="50"/>
      <c r="K83" s="50"/>
      <c r="L83" s="50"/>
      <c r="M83" s="50">
        <v>0</v>
      </c>
      <c r="N83" s="85"/>
      <c r="O83" s="50"/>
      <c r="P83" s="51"/>
    </row>
    <row r="84" spans="2:16" x14ac:dyDescent="0.25">
      <c r="B84" s="101"/>
      <c r="C84" s="104"/>
      <c r="D84" s="104"/>
      <c r="E84" s="107"/>
      <c r="F84" s="47" t="s">
        <v>3</v>
      </c>
      <c r="G84" s="48">
        <f t="shared" si="29"/>
        <v>0</v>
      </c>
      <c r="H84" s="49"/>
      <c r="I84" s="50"/>
      <c r="J84" s="50"/>
      <c r="K84" s="50"/>
      <c r="L84" s="50"/>
      <c r="M84" s="50">
        <v>0</v>
      </c>
      <c r="N84" s="85"/>
      <c r="O84" s="50"/>
      <c r="P84" s="51"/>
    </row>
    <row r="85" spans="2:16" x14ac:dyDescent="0.25">
      <c r="B85" s="101"/>
      <c r="C85" s="104"/>
      <c r="D85" s="104"/>
      <c r="E85" s="107"/>
      <c r="F85" s="52" t="s">
        <v>55</v>
      </c>
      <c r="G85" s="48">
        <f t="shared" si="29"/>
        <v>0</v>
      </c>
      <c r="H85" s="49"/>
      <c r="I85" s="50"/>
      <c r="J85" s="50"/>
      <c r="K85" s="50"/>
      <c r="L85" s="50"/>
      <c r="M85" s="53">
        <v>0</v>
      </c>
      <c r="N85" s="85"/>
      <c r="O85" s="50"/>
      <c r="P85" s="51"/>
    </row>
    <row r="86" spans="2:16" x14ac:dyDescent="0.25">
      <c r="B86" s="101"/>
      <c r="C86" s="104"/>
      <c r="D86" s="104"/>
      <c r="E86" s="107"/>
      <c r="F86" s="47" t="s">
        <v>4</v>
      </c>
      <c r="G86" s="48">
        <f t="shared" si="29"/>
        <v>40415.391579999996</v>
      </c>
      <c r="H86" s="49">
        <v>8334.3835199999994</v>
      </c>
      <c r="I86" s="50">
        <f>15476.443-1400-0.01-47.30239+2777.20388</f>
        <v>16806.334489999997</v>
      </c>
      <c r="J86" s="50">
        <f>9034.67357+270</f>
        <v>9304.6735700000008</v>
      </c>
      <c r="K86" s="50">
        <f>6000-30</f>
        <v>5970</v>
      </c>
      <c r="L86" s="50"/>
      <c r="M86" s="53">
        <v>0</v>
      </c>
      <c r="N86" s="85"/>
      <c r="O86" s="50"/>
      <c r="P86" s="51"/>
    </row>
    <row r="87" spans="2:16" x14ac:dyDescent="0.25">
      <c r="B87" s="102"/>
      <c r="C87" s="105"/>
      <c r="D87" s="105"/>
      <c r="E87" s="108"/>
      <c r="F87" s="55" t="s">
        <v>5</v>
      </c>
      <c r="G87" s="56">
        <f t="shared" si="29"/>
        <v>0</v>
      </c>
      <c r="H87" s="57"/>
      <c r="I87" s="58"/>
      <c r="J87" s="58"/>
      <c r="K87" s="58"/>
      <c r="L87" s="58"/>
      <c r="M87" s="58">
        <v>0</v>
      </c>
      <c r="N87" s="86"/>
      <c r="O87" s="58"/>
      <c r="P87" s="59"/>
    </row>
    <row r="88" spans="2:16" ht="15.75" customHeight="1" x14ac:dyDescent="0.25">
      <c r="B88" s="100" t="s">
        <v>31</v>
      </c>
      <c r="C88" s="103" t="s">
        <v>44</v>
      </c>
      <c r="D88" s="103" t="s">
        <v>66</v>
      </c>
      <c r="E88" s="106" t="s">
        <v>20</v>
      </c>
      <c r="F88" s="41" t="s">
        <v>1</v>
      </c>
      <c r="G88" s="42">
        <f t="shared" si="29"/>
        <v>16089.239000000001</v>
      </c>
      <c r="H88" s="43">
        <f>SUM(H89:H93)</f>
        <v>449.44499999999999</v>
      </c>
      <c r="I88" s="44">
        <f t="shared" ref="I88:P88" si="32">SUM(I89:I93)</f>
        <v>13719.918000000001</v>
      </c>
      <c r="J88" s="44">
        <f t="shared" si="32"/>
        <v>1119.876</v>
      </c>
      <c r="K88" s="44">
        <f t="shared" si="32"/>
        <v>800</v>
      </c>
      <c r="L88" s="44">
        <f t="shared" si="32"/>
        <v>0</v>
      </c>
      <c r="M88" s="44">
        <f t="shared" si="32"/>
        <v>0</v>
      </c>
      <c r="N88" s="84">
        <f t="shared" si="32"/>
        <v>0</v>
      </c>
      <c r="O88" s="44">
        <f t="shared" ref="O88" si="33">SUM(O89:O93)</f>
        <v>0</v>
      </c>
      <c r="P88" s="45">
        <f t="shared" si="32"/>
        <v>0</v>
      </c>
    </row>
    <row r="89" spans="2:16" x14ac:dyDescent="0.25">
      <c r="B89" s="101"/>
      <c r="C89" s="104"/>
      <c r="D89" s="104"/>
      <c r="E89" s="107"/>
      <c r="F89" s="47" t="s">
        <v>2</v>
      </c>
      <c r="G89" s="48">
        <f t="shared" si="29"/>
        <v>0</v>
      </c>
      <c r="H89" s="49"/>
      <c r="I89" s="50"/>
      <c r="J89" s="50"/>
      <c r="K89" s="50"/>
      <c r="L89" s="50"/>
      <c r="M89" s="50">
        <v>0</v>
      </c>
      <c r="N89" s="85"/>
      <c r="O89" s="50"/>
      <c r="P89" s="51"/>
    </row>
    <row r="90" spans="2:16" x14ac:dyDescent="0.25">
      <c r="B90" s="101"/>
      <c r="C90" s="104"/>
      <c r="D90" s="104"/>
      <c r="E90" s="107"/>
      <c r="F90" s="47" t="s">
        <v>3</v>
      </c>
      <c r="G90" s="48">
        <f t="shared" si="29"/>
        <v>10376.475</v>
      </c>
      <c r="H90" s="49"/>
      <c r="I90" s="50">
        <f>13389.9-0.9-3012.525</f>
        <v>10376.475</v>
      </c>
      <c r="J90" s="50"/>
      <c r="K90" s="50"/>
      <c r="L90" s="50"/>
      <c r="M90" s="50">
        <v>0</v>
      </c>
      <c r="N90" s="85"/>
      <c r="O90" s="50"/>
      <c r="P90" s="51"/>
    </row>
    <row r="91" spans="2:16" x14ac:dyDescent="0.25">
      <c r="B91" s="101"/>
      <c r="C91" s="104"/>
      <c r="D91" s="104"/>
      <c r="E91" s="107"/>
      <c r="F91" s="52" t="s">
        <v>55</v>
      </c>
      <c r="G91" s="48">
        <f t="shared" si="29"/>
        <v>0</v>
      </c>
      <c r="H91" s="49"/>
      <c r="I91" s="50"/>
      <c r="J91" s="50"/>
      <c r="K91" s="50"/>
      <c r="L91" s="50"/>
      <c r="M91" s="53">
        <v>0</v>
      </c>
      <c r="N91" s="85"/>
      <c r="O91" s="50"/>
      <c r="P91" s="51"/>
    </row>
    <row r="92" spans="2:16" x14ac:dyDescent="0.25">
      <c r="B92" s="101"/>
      <c r="C92" s="104"/>
      <c r="D92" s="104"/>
      <c r="E92" s="107"/>
      <c r="F92" s="47" t="s">
        <v>4</v>
      </c>
      <c r="G92" s="48">
        <f t="shared" si="29"/>
        <v>5712.7640000000001</v>
      </c>
      <c r="H92" s="49">
        <v>449.44499999999999</v>
      </c>
      <c r="I92" s="50">
        <f>3343.443</f>
        <v>3343.4430000000002</v>
      </c>
      <c r="J92" s="50">
        <f>1191.628-71.752</f>
        <v>1119.876</v>
      </c>
      <c r="K92" s="50">
        <f>504+296</f>
        <v>800</v>
      </c>
      <c r="L92" s="50"/>
      <c r="M92" s="53">
        <v>0</v>
      </c>
      <c r="N92" s="85"/>
      <c r="O92" s="50"/>
      <c r="P92" s="51"/>
    </row>
    <row r="93" spans="2:16" x14ac:dyDescent="0.25">
      <c r="B93" s="102"/>
      <c r="C93" s="105"/>
      <c r="D93" s="105"/>
      <c r="E93" s="108"/>
      <c r="F93" s="55" t="s">
        <v>5</v>
      </c>
      <c r="G93" s="56">
        <f t="shared" si="29"/>
        <v>0</v>
      </c>
      <c r="H93" s="57"/>
      <c r="I93" s="58"/>
      <c r="J93" s="58"/>
      <c r="K93" s="58"/>
      <c r="L93" s="58"/>
      <c r="M93" s="58">
        <v>0</v>
      </c>
      <c r="N93" s="86"/>
      <c r="O93" s="58"/>
      <c r="P93" s="59"/>
    </row>
    <row r="94" spans="2:16" ht="15.75" customHeight="1" x14ac:dyDescent="0.25">
      <c r="B94" s="100" t="s">
        <v>32</v>
      </c>
      <c r="C94" s="103" t="s">
        <v>35</v>
      </c>
      <c r="D94" s="103" t="s">
        <v>38</v>
      </c>
      <c r="E94" s="106" t="s">
        <v>20</v>
      </c>
      <c r="F94" s="41" t="s">
        <v>1</v>
      </c>
      <c r="G94" s="42">
        <f t="shared" si="29"/>
        <v>3347.6706399999998</v>
      </c>
      <c r="H94" s="43">
        <f>SUM(H95:H99)</f>
        <v>3062.00864</v>
      </c>
      <c r="I94" s="44">
        <f t="shared" ref="I94:P94" si="34">SUM(I95:I99)</f>
        <v>285.66199999999998</v>
      </c>
      <c r="J94" s="44">
        <f t="shared" si="34"/>
        <v>0</v>
      </c>
      <c r="K94" s="44">
        <f t="shared" si="34"/>
        <v>0</v>
      </c>
      <c r="L94" s="44">
        <f t="shared" si="34"/>
        <v>0</v>
      </c>
      <c r="M94" s="44">
        <f t="shared" si="34"/>
        <v>0</v>
      </c>
      <c r="N94" s="84">
        <f t="shared" si="34"/>
        <v>0</v>
      </c>
      <c r="O94" s="44">
        <f t="shared" ref="O94" si="35">SUM(O95:O99)</f>
        <v>0</v>
      </c>
      <c r="P94" s="45">
        <f t="shared" si="34"/>
        <v>0</v>
      </c>
    </row>
    <row r="95" spans="2:16" x14ac:dyDescent="0.25">
      <c r="B95" s="101"/>
      <c r="C95" s="104"/>
      <c r="D95" s="104"/>
      <c r="E95" s="107"/>
      <c r="F95" s="47" t="s">
        <v>2</v>
      </c>
      <c r="G95" s="48">
        <f t="shared" si="29"/>
        <v>0</v>
      </c>
      <c r="H95" s="49"/>
      <c r="I95" s="50"/>
      <c r="J95" s="50"/>
      <c r="K95" s="50"/>
      <c r="L95" s="50"/>
      <c r="M95" s="50">
        <v>0</v>
      </c>
      <c r="N95" s="85"/>
      <c r="O95" s="50"/>
      <c r="P95" s="51"/>
    </row>
    <row r="96" spans="2:16" x14ac:dyDescent="0.25">
      <c r="B96" s="101"/>
      <c r="C96" s="104"/>
      <c r="D96" s="104"/>
      <c r="E96" s="107"/>
      <c r="F96" s="47" t="s">
        <v>3</v>
      </c>
      <c r="G96" s="48">
        <f t="shared" si="29"/>
        <v>0</v>
      </c>
      <c r="H96" s="49"/>
      <c r="I96" s="50"/>
      <c r="J96" s="50"/>
      <c r="K96" s="50"/>
      <c r="L96" s="50"/>
      <c r="M96" s="50">
        <v>0</v>
      </c>
      <c r="N96" s="85"/>
      <c r="O96" s="50"/>
      <c r="P96" s="51"/>
    </row>
    <row r="97" spans="2:19" x14ac:dyDescent="0.25">
      <c r="B97" s="101"/>
      <c r="C97" s="104"/>
      <c r="D97" s="104"/>
      <c r="E97" s="107"/>
      <c r="F97" s="52" t="s">
        <v>55</v>
      </c>
      <c r="G97" s="48">
        <f t="shared" si="29"/>
        <v>0</v>
      </c>
      <c r="H97" s="49"/>
      <c r="I97" s="50"/>
      <c r="J97" s="50"/>
      <c r="K97" s="50"/>
      <c r="L97" s="50"/>
      <c r="M97" s="53">
        <v>0</v>
      </c>
      <c r="N97" s="85"/>
      <c r="O97" s="50"/>
      <c r="P97" s="51"/>
    </row>
    <row r="98" spans="2:19" x14ac:dyDescent="0.25">
      <c r="B98" s="101"/>
      <c r="C98" s="104"/>
      <c r="D98" s="104"/>
      <c r="E98" s="107"/>
      <c r="F98" s="47" t="s">
        <v>4</v>
      </c>
      <c r="G98" s="48">
        <f t="shared" si="29"/>
        <v>3347.6706399999998</v>
      </c>
      <c r="H98" s="49">
        <v>3062.00864</v>
      </c>
      <c r="I98" s="50">
        <v>285.66199999999998</v>
      </c>
      <c r="J98" s="50"/>
      <c r="K98" s="50"/>
      <c r="L98" s="50"/>
      <c r="M98" s="53">
        <v>0</v>
      </c>
      <c r="N98" s="85"/>
      <c r="O98" s="50"/>
      <c r="P98" s="51"/>
    </row>
    <row r="99" spans="2:19" x14ac:dyDescent="0.25">
      <c r="B99" s="102"/>
      <c r="C99" s="105"/>
      <c r="D99" s="105"/>
      <c r="E99" s="108"/>
      <c r="F99" s="55" t="s">
        <v>5</v>
      </c>
      <c r="G99" s="56">
        <f t="shared" si="29"/>
        <v>0</v>
      </c>
      <c r="H99" s="57"/>
      <c r="I99" s="58"/>
      <c r="J99" s="58"/>
      <c r="K99" s="58"/>
      <c r="L99" s="58"/>
      <c r="M99" s="58">
        <v>0</v>
      </c>
      <c r="N99" s="86"/>
      <c r="O99" s="58"/>
      <c r="P99" s="59"/>
    </row>
    <row r="100" spans="2:19" ht="15.75" customHeight="1" x14ac:dyDescent="0.25">
      <c r="B100" s="100" t="s">
        <v>70</v>
      </c>
      <c r="C100" s="103" t="s">
        <v>51</v>
      </c>
      <c r="D100" s="103" t="s">
        <v>96</v>
      </c>
      <c r="E100" s="106" t="s">
        <v>20</v>
      </c>
      <c r="F100" s="41" t="s">
        <v>1</v>
      </c>
      <c r="G100" s="42">
        <f t="shared" si="29"/>
        <v>1794.64509</v>
      </c>
      <c r="H100" s="43">
        <f>SUM(H101:H105)</f>
        <v>299.96568000000002</v>
      </c>
      <c r="I100" s="44">
        <f t="shared" ref="I100:P100" si="36">SUM(I101:I105)</f>
        <v>145</v>
      </c>
      <c r="J100" s="44">
        <f t="shared" si="36"/>
        <v>604.67940999999996</v>
      </c>
      <c r="K100" s="44">
        <f t="shared" si="36"/>
        <v>0</v>
      </c>
      <c r="L100" s="44">
        <f t="shared" si="36"/>
        <v>145</v>
      </c>
      <c r="M100" s="44">
        <f t="shared" si="36"/>
        <v>0</v>
      </c>
      <c r="N100" s="84">
        <f t="shared" si="36"/>
        <v>600</v>
      </c>
      <c r="O100" s="44">
        <f t="shared" ref="O100" si="37">SUM(O101:O105)</f>
        <v>0</v>
      </c>
      <c r="P100" s="45">
        <f t="shared" si="36"/>
        <v>0</v>
      </c>
    </row>
    <row r="101" spans="2:19" x14ac:dyDescent="0.25">
      <c r="B101" s="101"/>
      <c r="C101" s="104"/>
      <c r="D101" s="104"/>
      <c r="E101" s="107"/>
      <c r="F101" s="47" t="s">
        <v>2</v>
      </c>
      <c r="G101" s="48">
        <f t="shared" si="29"/>
        <v>0</v>
      </c>
      <c r="H101" s="49"/>
      <c r="I101" s="50"/>
      <c r="J101" s="50"/>
      <c r="K101" s="50"/>
      <c r="L101" s="50"/>
      <c r="M101" s="50">
        <v>0</v>
      </c>
      <c r="N101" s="85"/>
      <c r="O101" s="50"/>
      <c r="P101" s="51"/>
    </row>
    <row r="102" spans="2:19" x14ac:dyDescent="0.25">
      <c r="B102" s="101"/>
      <c r="C102" s="104"/>
      <c r="D102" s="104"/>
      <c r="E102" s="107"/>
      <c r="F102" s="47" t="s">
        <v>3</v>
      </c>
      <c r="G102" s="48">
        <f t="shared" si="29"/>
        <v>0</v>
      </c>
      <c r="H102" s="49"/>
      <c r="I102" s="50"/>
      <c r="J102" s="50"/>
      <c r="K102" s="50"/>
      <c r="L102" s="50"/>
      <c r="M102" s="50">
        <v>0</v>
      </c>
      <c r="N102" s="85"/>
      <c r="O102" s="50"/>
      <c r="P102" s="51"/>
    </row>
    <row r="103" spans="2:19" x14ac:dyDescent="0.25">
      <c r="B103" s="101"/>
      <c r="C103" s="104"/>
      <c r="D103" s="104"/>
      <c r="E103" s="107"/>
      <c r="F103" s="52" t="s">
        <v>55</v>
      </c>
      <c r="G103" s="48">
        <f t="shared" si="29"/>
        <v>0</v>
      </c>
      <c r="H103" s="49"/>
      <c r="I103" s="50"/>
      <c r="J103" s="50"/>
      <c r="K103" s="50"/>
      <c r="L103" s="50"/>
      <c r="M103" s="53">
        <v>0</v>
      </c>
      <c r="N103" s="85"/>
      <c r="O103" s="50"/>
      <c r="P103" s="51"/>
    </row>
    <row r="104" spans="2:19" x14ac:dyDescent="0.25">
      <c r="B104" s="101"/>
      <c r="C104" s="104"/>
      <c r="D104" s="104"/>
      <c r="E104" s="107"/>
      <c r="F104" s="47" t="s">
        <v>4</v>
      </c>
      <c r="G104" s="48">
        <f t="shared" si="29"/>
        <v>1794.64509</v>
      </c>
      <c r="H104" s="49">
        <v>299.96568000000002</v>
      </c>
      <c r="I104" s="50">
        <v>145</v>
      </c>
      <c r="J104" s="50">
        <f>752.718-148.03859</f>
        <v>604.67940999999996</v>
      </c>
      <c r="K104" s="50"/>
      <c r="L104" s="50">
        <v>145</v>
      </c>
      <c r="M104" s="53">
        <v>0</v>
      </c>
      <c r="N104" s="85">
        <v>600</v>
      </c>
      <c r="O104" s="50"/>
      <c r="P104" s="51"/>
    </row>
    <row r="105" spans="2:19" ht="16.5" thickBot="1" x14ac:dyDescent="0.3">
      <c r="B105" s="135"/>
      <c r="C105" s="136"/>
      <c r="D105" s="136"/>
      <c r="E105" s="95"/>
      <c r="F105" s="60" t="s">
        <v>5</v>
      </c>
      <c r="G105" s="61">
        <f t="shared" si="29"/>
        <v>0</v>
      </c>
      <c r="H105" s="62"/>
      <c r="I105" s="63"/>
      <c r="J105" s="63"/>
      <c r="K105" s="63"/>
      <c r="L105" s="63"/>
      <c r="M105" s="63">
        <v>0</v>
      </c>
      <c r="N105" s="87"/>
      <c r="O105" s="63"/>
      <c r="P105" s="64"/>
    </row>
    <row r="106" spans="2:19" ht="15.75" customHeight="1" x14ac:dyDescent="0.25">
      <c r="B106" s="100" t="s">
        <v>89</v>
      </c>
      <c r="C106" s="103" t="s">
        <v>88</v>
      </c>
      <c r="D106" s="103">
        <v>2024</v>
      </c>
      <c r="E106" s="106" t="s">
        <v>10</v>
      </c>
      <c r="F106" s="41" t="s">
        <v>1</v>
      </c>
      <c r="G106" s="42">
        <f t="shared" ref="G106:G111" si="38">SUM(H106:P106)</f>
        <v>9300</v>
      </c>
      <c r="H106" s="43">
        <f>SUM(H107:H111)</f>
        <v>0</v>
      </c>
      <c r="I106" s="44">
        <f t="shared" ref="I106:P106" si="39">SUM(I107:I111)</f>
        <v>0</v>
      </c>
      <c r="J106" s="44">
        <f t="shared" si="39"/>
        <v>0</v>
      </c>
      <c r="K106" s="44">
        <f t="shared" si="39"/>
        <v>0</v>
      </c>
      <c r="L106" s="44">
        <f t="shared" si="39"/>
        <v>0</v>
      </c>
      <c r="M106" s="44">
        <v>0</v>
      </c>
      <c r="N106" s="84">
        <f>SUM(N107:N111)</f>
        <v>9300</v>
      </c>
      <c r="O106" s="44">
        <f t="shared" si="39"/>
        <v>0</v>
      </c>
      <c r="P106" s="45">
        <f t="shared" si="39"/>
        <v>0</v>
      </c>
    </row>
    <row r="107" spans="2:19" x14ac:dyDescent="0.25">
      <c r="B107" s="101"/>
      <c r="C107" s="104"/>
      <c r="D107" s="104"/>
      <c r="E107" s="107"/>
      <c r="F107" s="47" t="s">
        <v>2</v>
      </c>
      <c r="G107" s="48">
        <f t="shared" si="38"/>
        <v>0</v>
      </c>
      <c r="H107" s="49"/>
      <c r="I107" s="50"/>
      <c r="J107" s="50"/>
      <c r="K107" s="50"/>
      <c r="L107" s="50"/>
      <c r="M107" s="50"/>
      <c r="N107" s="85"/>
      <c r="O107" s="50"/>
      <c r="P107" s="51"/>
    </row>
    <row r="108" spans="2:19" x14ac:dyDescent="0.25">
      <c r="B108" s="101"/>
      <c r="C108" s="104"/>
      <c r="D108" s="104"/>
      <c r="E108" s="107"/>
      <c r="F108" s="47" t="s">
        <v>3</v>
      </c>
      <c r="G108" s="48">
        <f t="shared" si="38"/>
        <v>8835</v>
      </c>
      <c r="H108" s="49"/>
      <c r="I108" s="50"/>
      <c r="J108" s="50"/>
      <c r="K108" s="50"/>
      <c r="L108" s="50"/>
      <c r="M108" s="50"/>
      <c r="N108" s="85">
        <v>8835</v>
      </c>
      <c r="O108" s="50"/>
      <c r="P108" s="51"/>
    </row>
    <row r="109" spans="2:19" x14ac:dyDescent="0.25">
      <c r="B109" s="101"/>
      <c r="C109" s="104"/>
      <c r="D109" s="104"/>
      <c r="E109" s="107"/>
      <c r="F109" s="52" t="s">
        <v>55</v>
      </c>
      <c r="G109" s="48">
        <f t="shared" si="38"/>
        <v>0</v>
      </c>
      <c r="H109" s="49"/>
      <c r="I109" s="50"/>
      <c r="J109" s="50"/>
      <c r="K109" s="50"/>
      <c r="L109" s="50"/>
      <c r="M109" s="53"/>
      <c r="N109" s="85"/>
      <c r="O109" s="50"/>
      <c r="P109" s="51"/>
      <c r="S109" s="54"/>
    </row>
    <row r="110" spans="2:19" x14ac:dyDescent="0.25">
      <c r="B110" s="101"/>
      <c r="C110" s="104"/>
      <c r="D110" s="104"/>
      <c r="E110" s="107"/>
      <c r="F110" s="47" t="s">
        <v>4</v>
      </c>
      <c r="G110" s="48">
        <f t="shared" si="38"/>
        <v>465</v>
      </c>
      <c r="H110" s="49"/>
      <c r="I110" s="50"/>
      <c r="J110" s="50"/>
      <c r="K110" s="50"/>
      <c r="L110" s="50"/>
      <c r="M110" s="53"/>
      <c r="N110" s="85">
        <v>465</v>
      </c>
      <c r="O110" s="50"/>
      <c r="P110" s="51"/>
    </row>
    <row r="111" spans="2:19" ht="16.5" thickBot="1" x14ac:dyDescent="0.3">
      <c r="B111" s="135"/>
      <c r="C111" s="136"/>
      <c r="D111" s="136"/>
      <c r="E111" s="95"/>
      <c r="F111" s="60" t="s">
        <v>5</v>
      </c>
      <c r="G111" s="61">
        <f t="shared" si="38"/>
        <v>0</v>
      </c>
      <c r="H111" s="62"/>
      <c r="I111" s="63"/>
      <c r="J111" s="63"/>
      <c r="K111" s="63"/>
      <c r="L111" s="63"/>
      <c r="M111" s="63"/>
      <c r="N111" s="87"/>
      <c r="O111" s="63"/>
      <c r="P111" s="64"/>
    </row>
    <row r="112" spans="2:19" ht="15.75" customHeight="1" x14ac:dyDescent="0.25">
      <c r="B112" s="120" t="s">
        <v>36</v>
      </c>
      <c r="C112" s="123" t="s">
        <v>37</v>
      </c>
      <c r="D112" s="123" t="s">
        <v>87</v>
      </c>
      <c r="E112" s="126" t="s">
        <v>10</v>
      </c>
      <c r="F112" s="25" t="s">
        <v>1</v>
      </c>
      <c r="G112" s="26">
        <f t="shared" si="29"/>
        <v>1171444.8653600002</v>
      </c>
      <c r="H112" s="27">
        <f t="shared" ref="H112:P117" si="40">SUM(H118,H124,H130,H136,H142,H148,H154,H160,H166,H172)</f>
        <v>27408.394240000001</v>
      </c>
      <c r="I112" s="28">
        <f t="shared" si="40"/>
        <v>86505.815000000017</v>
      </c>
      <c r="J112" s="28">
        <f t="shared" si="40"/>
        <v>164797.62641000003</v>
      </c>
      <c r="K112" s="28">
        <f t="shared" si="40"/>
        <v>339770.44286000001</v>
      </c>
      <c r="L112" s="28">
        <f t="shared" si="40"/>
        <v>328648.64259000006</v>
      </c>
      <c r="M112" s="28">
        <f t="shared" si="40"/>
        <v>129726.30537999999</v>
      </c>
      <c r="N112" s="81">
        <f t="shared" ref="N112:N117" si="41">SUM(N118,N124,N130,N136,N142,N148,N154,N160,N166,N172,N178)</f>
        <v>79587.638880000013</v>
      </c>
      <c r="O112" s="28">
        <f t="shared" ref="O112" si="42">SUM(O118,O124,O130,O136,O142,O148,O154,O160,O166,O172)</f>
        <v>15000</v>
      </c>
      <c r="P112" s="29">
        <f t="shared" si="40"/>
        <v>0</v>
      </c>
    </row>
    <row r="113" spans="2:20" x14ac:dyDescent="0.25">
      <c r="B113" s="121"/>
      <c r="C113" s="124"/>
      <c r="D113" s="124"/>
      <c r="E113" s="127"/>
      <c r="F113" s="30" t="s">
        <v>2</v>
      </c>
      <c r="G113" s="31">
        <f t="shared" si="29"/>
        <v>844997.83956999995</v>
      </c>
      <c r="H113" s="32">
        <f t="shared" si="40"/>
        <v>23943.79</v>
      </c>
      <c r="I113" s="33">
        <f t="shared" si="40"/>
        <v>84150.000000000015</v>
      </c>
      <c r="J113" s="33">
        <f t="shared" si="40"/>
        <v>121770</v>
      </c>
      <c r="K113" s="33">
        <f t="shared" si="40"/>
        <v>241334.43806000001</v>
      </c>
      <c r="L113" s="33">
        <f t="shared" si="40"/>
        <v>214464.23910999999</v>
      </c>
      <c r="M113" s="33">
        <f t="shared" si="40"/>
        <v>105124.2</v>
      </c>
      <c r="N113" s="82">
        <f t="shared" si="41"/>
        <v>54211.172400000003</v>
      </c>
      <c r="O113" s="33">
        <f t="shared" ref="O113" si="43">SUM(O119,O125,O131,O137,O143,O149,O155,O161,O167,O173)</f>
        <v>0</v>
      </c>
      <c r="P113" s="34">
        <f t="shared" si="40"/>
        <v>0</v>
      </c>
    </row>
    <row r="114" spans="2:20" x14ac:dyDescent="0.25">
      <c r="B114" s="121"/>
      <c r="C114" s="124"/>
      <c r="D114" s="124"/>
      <c r="E114" s="127"/>
      <c r="F114" s="30" t="s">
        <v>3</v>
      </c>
      <c r="G114" s="31">
        <f t="shared" si="29"/>
        <v>9632.5304599999999</v>
      </c>
      <c r="H114" s="32">
        <f t="shared" si="40"/>
        <v>1500</v>
      </c>
      <c r="I114" s="33">
        <f t="shared" si="40"/>
        <v>849.99999999999989</v>
      </c>
      <c r="J114" s="33">
        <f t="shared" si="40"/>
        <v>1230.00001</v>
      </c>
      <c r="K114" s="33">
        <f t="shared" si="40"/>
        <v>2437.7216000000003</v>
      </c>
      <c r="L114" s="33">
        <f t="shared" si="40"/>
        <v>2166.30546</v>
      </c>
      <c r="M114" s="33">
        <f t="shared" si="40"/>
        <v>955.67455000000007</v>
      </c>
      <c r="N114" s="82">
        <f t="shared" si="41"/>
        <v>492.82884000000001</v>
      </c>
      <c r="O114" s="33">
        <f t="shared" ref="O114" si="44">SUM(O120,O126,O132,O138,O144,O150,O156,O162,O168,O174)</f>
        <v>0</v>
      </c>
      <c r="P114" s="34">
        <f t="shared" si="40"/>
        <v>0</v>
      </c>
    </row>
    <row r="115" spans="2:20" x14ac:dyDescent="0.25">
      <c r="B115" s="121"/>
      <c r="C115" s="124"/>
      <c r="D115" s="124"/>
      <c r="E115" s="127"/>
      <c r="F115" s="35" t="s">
        <v>55</v>
      </c>
      <c r="G115" s="31">
        <f t="shared" si="29"/>
        <v>237965.742</v>
      </c>
      <c r="H115" s="32">
        <f t="shared" si="40"/>
        <v>0</v>
      </c>
      <c r="I115" s="33">
        <f t="shared" si="40"/>
        <v>0</v>
      </c>
      <c r="J115" s="33">
        <f t="shared" si="40"/>
        <v>37973.879999999997</v>
      </c>
      <c r="K115" s="33">
        <f t="shared" si="40"/>
        <v>90000</v>
      </c>
      <c r="L115" s="33">
        <f t="shared" si="40"/>
        <v>70000</v>
      </c>
      <c r="M115" s="33">
        <f t="shared" si="40"/>
        <v>2685.3119999999999</v>
      </c>
      <c r="N115" s="82">
        <f t="shared" si="41"/>
        <v>22306.55</v>
      </c>
      <c r="O115" s="33">
        <f t="shared" ref="O115" si="45">SUM(O121,O127,O133,O139,O145,O151,O157,O163,O169,O175)</f>
        <v>15000</v>
      </c>
      <c r="P115" s="34">
        <f t="shared" si="40"/>
        <v>0</v>
      </c>
    </row>
    <row r="116" spans="2:20" x14ac:dyDescent="0.25">
      <c r="B116" s="121"/>
      <c r="C116" s="124"/>
      <c r="D116" s="124"/>
      <c r="E116" s="127"/>
      <c r="F116" s="30" t="s">
        <v>4</v>
      </c>
      <c r="G116" s="31">
        <f t="shared" si="29"/>
        <v>78848.753329999992</v>
      </c>
      <c r="H116" s="32">
        <f t="shared" si="40"/>
        <v>1964.6042400000001</v>
      </c>
      <c r="I116" s="33">
        <f t="shared" si="40"/>
        <v>1505.8150000000001</v>
      </c>
      <c r="J116" s="33">
        <f t="shared" si="40"/>
        <v>3823.7464</v>
      </c>
      <c r="K116" s="33">
        <f t="shared" si="40"/>
        <v>5998.2831999999999</v>
      </c>
      <c r="L116" s="33">
        <f t="shared" si="40"/>
        <v>42018.098020000005</v>
      </c>
      <c r="M116" s="33">
        <f t="shared" si="40"/>
        <v>20961.118829999999</v>
      </c>
      <c r="N116" s="82">
        <f t="shared" si="41"/>
        <v>2577.0876400000002</v>
      </c>
      <c r="O116" s="33">
        <f t="shared" ref="O116" si="46">SUM(O122,O128,O134,O140,O146,O152,O158,O164,O170,O176)</f>
        <v>0</v>
      </c>
      <c r="P116" s="34">
        <f t="shared" si="40"/>
        <v>0</v>
      </c>
    </row>
    <row r="117" spans="2:20" x14ac:dyDescent="0.25">
      <c r="B117" s="122"/>
      <c r="C117" s="125"/>
      <c r="D117" s="125"/>
      <c r="E117" s="128"/>
      <c r="F117" s="36" t="s">
        <v>5</v>
      </c>
      <c r="G117" s="37">
        <f t="shared" si="29"/>
        <v>0</v>
      </c>
      <c r="H117" s="38">
        <f t="shared" si="40"/>
        <v>0</v>
      </c>
      <c r="I117" s="39">
        <f t="shared" si="40"/>
        <v>0</v>
      </c>
      <c r="J117" s="39">
        <f t="shared" si="40"/>
        <v>0</v>
      </c>
      <c r="K117" s="39">
        <f t="shared" si="40"/>
        <v>0</v>
      </c>
      <c r="L117" s="39">
        <f t="shared" si="40"/>
        <v>0</v>
      </c>
      <c r="M117" s="39">
        <f t="shared" si="40"/>
        <v>0</v>
      </c>
      <c r="N117" s="83">
        <f t="shared" si="41"/>
        <v>0</v>
      </c>
      <c r="O117" s="39">
        <f t="shared" ref="O117" si="47">SUM(O123,O129,O135,O141,O147,O153,O159,O165,O171,O177)</f>
        <v>0</v>
      </c>
      <c r="P117" s="40">
        <f t="shared" si="40"/>
        <v>0</v>
      </c>
    </row>
    <row r="118" spans="2:20" ht="15.75" customHeight="1" x14ac:dyDescent="0.25">
      <c r="B118" s="100" t="s">
        <v>19</v>
      </c>
      <c r="C118" s="103" t="s">
        <v>61</v>
      </c>
      <c r="D118" s="103">
        <v>2018</v>
      </c>
      <c r="E118" s="106" t="s">
        <v>10</v>
      </c>
      <c r="F118" s="41" t="s">
        <v>1</v>
      </c>
      <c r="G118" s="42">
        <f t="shared" si="29"/>
        <v>666.06500000000005</v>
      </c>
      <c r="H118" s="43">
        <f>SUM(H119:H123)</f>
        <v>666.06500000000005</v>
      </c>
      <c r="I118" s="44">
        <f t="shared" ref="I118:P118" si="48">SUM(I119:I123)</f>
        <v>0</v>
      </c>
      <c r="J118" s="44">
        <f t="shared" si="48"/>
        <v>0</v>
      </c>
      <c r="K118" s="44">
        <f t="shared" si="48"/>
        <v>0</v>
      </c>
      <c r="L118" s="44">
        <f t="shared" si="48"/>
        <v>0</v>
      </c>
      <c r="M118" s="44">
        <f t="shared" si="48"/>
        <v>0</v>
      </c>
      <c r="N118" s="84">
        <f t="shared" si="48"/>
        <v>0</v>
      </c>
      <c r="O118" s="44">
        <f t="shared" ref="O118" si="49">SUM(O119:O123)</f>
        <v>0</v>
      </c>
      <c r="P118" s="45">
        <f t="shared" si="48"/>
        <v>0</v>
      </c>
    </row>
    <row r="119" spans="2:20" x14ac:dyDescent="0.25">
      <c r="B119" s="101"/>
      <c r="C119" s="104"/>
      <c r="D119" s="104"/>
      <c r="E119" s="107"/>
      <c r="F119" s="47" t="s">
        <v>2</v>
      </c>
      <c r="G119" s="48">
        <f t="shared" si="29"/>
        <v>0</v>
      </c>
      <c r="H119" s="49"/>
      <c r="I119" s="50"/>
      <c r="J119" s="50"/>
      <c r="K119" s="50"/>
      <c r="L119" s="50"/>
      <c r="M119" s="50">
        <v>0</v>
      </c>
      <c r="N119" s="85"/>
      <c r="O119" s="50"/>
      <c r="P119" s="51"/>
    </row>
    <row r="120" spans="2:20" x14ac:dyDescent="0.25">
      <c r="B120" s="101"/>
      <c r="C120" s="104"/>
      <c r="D120" s="104"/>
      <c r="E120" s="107"/>
      <c r="F120" s="47" t="s">
        <v>3</v>
      </c>
      <c r="G120" s="48">
        <f t="shared" si="29"/>
        <v>0</v>
      </c>
      <c r="H120" s="49"/>
      <c r="I120" s="50"/>
      <c r="J120" s="50"/>
      <c r="K120" s="50"/>
      <c r="L120" s="50"/>
      <c r="M120" s="50">
        <v>0</v>
      </c>
      <c r="N120" s="85"/>
      <c r="O120" s="50"/>
      <c r="P120" s="51"/>
    </row>
    <row r="121" spans="2:20" x14ac:dyDescent="0.25">
      <c r="B121" s="101"/>
      <c r="C121" s="104"/>
      <c r="D121" s="104"/>
      <c r="E121" s="107"/>
      <c r="F121" s="52" t="s">
        <v>55</v>
      </c>
      <c r="G121" s="48">
        <f t="shared" si="29"/>
        <v>0</v>
      </c>
      <c r="H121" s="49"/>
      <c r="I121" s="50"/>
      <c r="J121" s="50"/>
      <c r="K121" s="50"/>
      <c r="L121" s="50"/>
      <c r="M121" s="53">
        <v>0</v>
      </c>
      <c r="N121" s="85"/>
      <c r="O121" s="50"/>
      <c r="P121" s="51"/>
    </row>
    <row r="122" spans="2:20" x14ac:dyDescent="0.25">
      <c r="B122" s="101"/>
      <c r="C122" s="104"/>
      <c r="D122" s="104"/>
      <c r="E122" s="107"/>
      <c r="F122" s="47" t="s">
        <v>4</v>
      </c>
      <c r="G122" s="48">
        <f t="shared" si="29"/>
        <v>666.06500000000005</v>
      </c>
      <c r="H122" s="49">
        <v>666.06500000000005</v>
      </c>
      <c r="I122" s="50"/>
      <c r="J122" s="50"/>
      <c r="K122" s="50"/>
      <c r="L122" s="50"/>
      <c r="M122" s="53">
        <v>0</v>
      </c>
      <c r="N122" s="85"/>
      <c r="O122" s="50"/>
      <c r="P122" s="51"/>
    </row>
    <row r="123" spans="2:20" x14ac:dyDescent="0.25">
      <c r="B123" s="102"/>
      <c r="C123" s="105"/>
      <c r="D123" s="105"/>
      <c r="E123" s="108"/>
      <c r="F123" s="55" t="s">
        <v>5</v>
      </c>
      <c r="G123" s="56">
        <f t="shared" si="29"/>
        <v>0</v>
      </c>
      <c r="H123" s="57"/>
      <c r="I123" s="58"/>
      <c r="J123" s="58"/>
      <c r="K123" s="58"/>
      <c r="L123" s="58"/>
      <c r="M123" s="58">
        <v>0</v>
      </c>
      <c r="N123" s="86"/>
      <c r="O123" s="58"/>
      <c r="P123" s="59"/>
    </row>
    <row r="124" spans="2:20" ht="15.75" customHeight="1" x14ac:dyDescent="0.25">
      <c r="B124" s="100" t="s">
        <v>39</v>
      </c>
      <c r="C124" s="103" t="s">
        <v>53</v>
      </c>
      <c r="D124" s="103" t="s">
        <v>86</v>
      </c>
      <c r="E124" s="106" t="s">
        <v>10</v>
      </c>
      <c r="F124" s="41" t="s">
        <v>1</v>
      </c>
      <c r="G124" s="42">
        <f t="shared" si="29"/>
        <v>1066998.8855600001</v>
      </c>
      <c r="H124" s="43">
        <f>SUM(H125:H129)</f>
        <v>26140.33</v>
      </c>
      <c r="I124" s="44">
        <f t="shared" ref="I124:P124" si="50">SUM(I125:I129)</f>
        <v>83115.000000000015</v>
      </c>
      <c r="J124" s="44">
        <f t="shared" si="50"/>
        <v>148452.31001000002</v>
      </c>
      <c r="K124" s="44">
        <f t="shared" si="50"/>
        <v>336291.84286000003</v>
      </c>
      <c r="L124" s="44">
        <f t="shared" si="50"/>
        <v>301704.48481000005</v>
      </c>
      <c r="M124" s="44">
        <f t="shared" si="50"/>
        <v>116536.15788</v>
      </c>
      <c r="N124" s="84">
        <f>SUM(N125:N129)</f>
        <v>54758.76</v>
      </c>
      <c r="O124" s="44">
        <f t="shared" ref="O124" si="51">SUM(O125:O129)</f>
        <v>0</v>
      </c>
      <c r="P124" s="45">
        <f t="shared" si="50"/>
        <v>0</v>
      </c>
    </row>
    <row r="125" spans="2:20" x14ac:dyDescent="0.25">
      <c r="B125" s="101"/>
      <c r="C125" s="104"/>
      <c r="D125" s="104"/>
      <c r="E125" s="107"/>
      <c r="F125" s="47" t="s">
        <v>2</v>
      </c>
      <c r="G125" s="48">
        <f t="shared" si="29"/>
        <v>841691.23956999998</v>
      </c>
      <c r="H125" s="49">
        <f>23943.79</f>
        <v>23943.79</v>
      </c>
      <c r="I125" s="50">
        <f>9481.70793+20079.27733+21728.70919+26589.6127+1116.06066+110.88396+294.03+289.08+2594.48823</f>
        <v>82283.85000000002</v>
      </c>
      <c r="J125" s="50">
        <v>120329.55</v>
      </c>
      <c r="K125" s="50">
        <f>28287.55908+66317.13+33228.06563+43919.69274+17925.25779+51656.73282</f>
        <v>241334.43806000001</v>
      </c>
      <c r="L125" s="50">
        <f>227578.56939-15.64974-8602.68606-211.92882-4284.06566</f>
        <v>214464.23910999999</v>
      </c>
      <c r="M125" s="50">
        <f>95319.51952+9900-95.31952</f>
        <v>105124.2</v>
      </c>
      <c r="N125" s="85">
        <v>54211.172400000003</v>
      </c>
      <c r="O125" s="50"/>
      <c r="P125" s="51"/>
    </row>
    <row r="126" spans="2:20" x14ac:dyDescent="0.25">
      <c r="B126" s="101"/>
      <c r="C126" s="104"/>
      <c r="D126" s="104"/>
      <c r="E126" s="107"/>
      <c r="F126" s="47" t="s">
        <v>3</v>
      </c>
      <c r="G126" s="48">
        <f t="shared" si="29"/>
        <v>9599.1304600000003</v>
      </c>
      <c r="H126" s="49">
        <v>1500</v>
      </c>
      <c r="I126" s="50">
        <f>95.77483+202.82098+219.48191+268.58195+11.27334+1.12004+2.97+2.92+26.20695</f>
        <v>831.15</v>
      </c>
      <c r="J126" s="50">
        <v>1215.45001</v>
      </c>
      <c r="K126" s="50">
        <f>285.73292+669.87+335.63703+443.63326+181.06321+521.78518</f>
        <v>2437.7216000000003</v>
      </c>
      <c r="L126" s="50">
        <f>2068.89609+15.64974-86.89582+211.92882-43.27337</f>
        <v>2166.30546</v>
      </c>
      <c r="M126" s="50">
        <f>866.54109+90-0.86654</f>
        <v>955.67455000000007</v>
      </c>
      <c r="N126" s="85">
        <v>492.82884000000001</v>
      </c>
      <c r="O126" s="50"/>
      <c r="P126" s="51"/>
      <c r="Q126" s="65"/>
      <c r="R126" s="65"/>
    </row>
    <row r="127" spans="2:20" x14ac:dyDescent="0.25">
      <c r="B127" s="101"/>
      <c r="C127" s="104"/>
      <c r="D127" s="104"/>
      <c r="E127" s="107"/>
      <c r="F127" s="52" t="s">
        <v>55</v>
      </c>
      <c r="G127" s="48">
        <f t="shared" si="29"/>
        <v>186907.31</v>
      </c>
      <c r="H127" s="49"/>
      <c r="I127" s="50"/>
      <c r="J127" s="50">
        <f>26907.31</f>
        <v>26907.31</v>
      </c>
      <c r="K127" s="50">
        <v>90000</v>
      </c>
      <c r="L127" s="50">
        <f>70000+52984.7768-52984.7768</f>
        <v>70000</v>
      </c>
      <c r="M127" s="53">
        <v>0</v>
      </c>
      <c r="N127" s="85"/>
      <c r="O127" s="50"/>
      <c r="P127" s="51"/>
      <c r="Q127" s="65"/>
      <c r="S127" s="54"/>
    </row>
    <row r="128" spans="2:20" x14ac:dyDescent="0.25">
      <c r="B128" s="101"/>
      <c r="C128" s="104"/>
      <c r="D128" s="104"/>
      <c r="E128" s="107"/>
      <c r="F128" s="47" t="s">
        <v>4</v>
      </c>
      <c r="G128" s="48">
        <f t="shared" si="29"/>
        <v>28801.205530000003</v>
      </c>
      <c r="H128" s="49">
        <v>696.54</v>
      </c>
      <c r="I128" s="50"/>
      <c r="J128" s="50"/>
      <c r="K128" s="50">
        <f>1535.232+984.4512</f>
        <v>2519.6831999999999</v>
      </c>
      <c r="L128" s="50">
        <f>70.07007+53.03782+14677.4148+273.41755</f>
        <v>15073.94024</v>
      </c>
      <c r="M128" s="53">
        <v>10456.28333</v>
      </c>
      <c r="N128" s="85">
        <f>54.75876</f>
        <v>54.758760000000002</v>
      </c>
      <c r="O128" s="50"/>
      <c r="P128" s="51"/>
      <c r="S128" s="54"/>
      <c r="T128" s="66"/>
    </row>
    <row r="129" spans="2:18" x14ac:dyDescent="0.25">
      <c r="B129" s="102"/>
      <c r="C129" s="105"/>
      <c r="D129" s="105"/>
      <c r="E129" s="108"/>
      <c r="F129" s="55" t="s">
        <v>5</v>
      </c>
      <c r="G129" s="56">
        <f t="shared" si="29"/>
        <v>0</v>
      </c>
      <c r="H129" s="57"/>
      <c r="I129" s="58"/>
      <c r="J129" s="58"/>
      <c r="K129" s="58"/>
      <c r="L129" s="58">
        <v>0</v>
      </c>
      <c r="M129" s="58">
        <v>0</v>
      </c>
      <c r="N129" s="86"/>
      <c r="O129" s="58"/>
      <c r="P129" s="59"/>
      <c r="R129" s="3" t="s">
        <v>67</v>
      </c>
    </row>
    <row r="130" spans="2:18" ht="15.75" customHeight="1" x14ac:dyDescent="0.25">
      <c r="B130" s="100" t="s">
        <v>40</v>
      </c>
      <c r="C130" s="103" t="s">
        <v>73</v>
      </c>
      <c r="D130" s="103" t="s">
        <v>68</v>
      </c>
      <c r="E130" s="106" t="s">
        <v>10</v>
      </c>
      <c r="F130" s="41" t="s">
        <v>1</v>
      </c>
      <c r="G130" s="42">
        <f t="shared" si="29"/>
        <v>14491.064180000001</v>
      </c>
      <c r="H130" s="43">
        <f>SUM(H131:H135)</f>
        <v>100</v>
      </c>
      <c r="I130" s="44">
        <f t="shared" ref="I130:P130" si="52">SUM(I131:I135)</f>
        <v>654.99999999999989</v>
      </c>
      <c r="J130" s="44">
        <f t="shared" si="52"/>
        <v>2924.5364</v>
      </c>
      <c r="K130" s="44">
        <f t="shared" si="52"/>
        <v>3365</v>
      </c>
      <c r="L130" s="44">
        <f t="shared" si="52"/>
        <v>7446.5277800000003</v>
      </c>
      <c r="M130" s="44">
        <f t="shared" si="52"/>
        <v>0</v>
      </c>
      <c r="N130" s="84">
        <f t="shared" si="52"/>
        <v>0</v>
      </c>
      <c r="O130" s="44">
        <f t="shared" ref="O130" si="53">SUM(O131:O135)</f>
        <v>0</v>
      </c>
      <c r="P130" s="45">
        <f t="shared" si="52"/>
        <v>0</v>
      </c>
    </row>
    <row r="131" spans="2:18" x14ac:dyDescent="0.25">
      <c r="B131" s="101"/>
      <c r="C131" s="104"/>
      <c r="D131" s="104"/>
      <c r="E131" s="107"/>
      <c r="F131" s="47" t="s">
        <v>2</v>
      </c>
      <c r="G131" s="48">
        <f t="shared" si="29"/>
        <v>549.44999999999993</v>
      </c>
      <c r="H131" s="49"/>
      <c r="I131" s="50">
        <f>89.1+178.2+282.15</f>
        <v>549.44999999999993</v>
      </c>
      <c r="J131" s="50"/>
      <c r="K131" s="50"/>
      <c r="L131" s="50"/>
      <c r="M131" s="50">
        <v>0</v>
      </c>
      <c r="N131" s="85"/>
      <c r="O131" s="50"/>
      <c r="P131" s="51"/>
    </row>
    <row r="132" spans="2:18" x14ac:dyDescent="0.25">
      <c r="B132" s="101"/>
      <c r="C132" s="104"/>
      <c r="D132" s="104"/>
      <c r="E132" s="107"/>
      <c r="F132" s="47" t="s">
        <v>3</v>
      </c>
      <c r="G132" s="48">
        <f t="shared" si="29"/>
        <v>5.5500000000000007</v>
      </c>
      <c r="H132" s="49"/>
      <c r="I132" s="50">
        <f>0.9+1.8+2.85</f>
        <v>5.5500000000000007</v>
      </c>
      <c r="J132" s="50"/>
      <c r="K132" s="50"/>
      <c r="L132" s="50"/>
      <c r="M132" s="50">
        <v>0</v>
      </c>
      <c r="N132" s="85"/>
      <c r="O132" s="50"/>
      <c r="P132" s="51"/>
    </row>
    <row r="133" spans="2:18" x14ac:dyDescent="0.25">
      <c r="B133" s="101"/>
      <c r="C133" s="104"/>
      <c r="D133" s="104"/>
      <c r="E133" s="107"/>
      <c r="F133" s="52" t="s">
        <v>55</v>
      </c>
      <c r="G133" s="48">
        <f t="shared" si="29"/>
        <v>0</v>
      </c>
      <c r="H133" s="49"/>
      <c r="I133" s="50"/>
      <c r="J133" s="50"/>
      <c r="K133" s="50"/>
      <c r="L133" s="50"/>
      <c r="M133" s="53">
        <v>0</v>
      </c>
      <c r="N133" s="85"/>
      <c r="O133" s="50"/>
      <c r="P133" s="51"/>
    </row>
    <row r="134" spans="2:18" x14ac:dyDescent="0.25">
      <c r="B134" s="101"/>
      <c r="C134" s="104"/>
      <c r="D134" s="104"/>
      <c r="E134" s="107"/>
      <c r="F134" s="47" t="s">
        <v>4</v>
      </c>
      <c r="G134" s="48">
        <f t="shared" si="29"/>
        <v>13936.064180000001</v>
      </c>
      <c r="H134" s="49">
        <f>100</f>
        <v>100</v>
      </c>
      <c r="I134" s="50">
        <f>100</f>
        <v>100</v>
      </c>
      <c r="J134" s="50">
        <f>2884.5364+40</f>
        <v>2924.5364</v>
      </c>
      <c r="K134" s="50">
        <f>598+595+598+385+590+599</f>
        <v>3365</v>
      </c>
      <c r="L134" s="50">
        <f>5757.02193+1689.50585</f>
        <v>7446.5277800000003</v>
      </c>
      <c r="M134" s="53">
        <v>0</v>
      </c>
      <c r="N134" s="85"/>
      <c r="O134" s="50"/>
      <c r="P134" s="51"/>
    </row>
    <row r="135" spans="2:18" x14ac:dyDescent="0.25">
      <c r="B135" s="102"/>
      <c r="C135" s="105"/>
      <c r="D135" s="105"/>
      <c r="E135" s="108"/>
      <c r="F135" s="55" t="s">
        <v>5</v>
      </c>
      <c r="G135" s="56">
        <f t="shared" si="29"/>
        <v>0</v>
      </c>
      <c r="H135" s="57"/>
      <c r="I135" s="58"/>
      <c r="J135" s="58"/>
      <c r="K135" s="58"/>
      <c r="L135" s="58"/>
      <c r="M135" s="58">
        <v>0</v>
      </c>
      <c r="N135" s="86"/>
      <c r="O135" s="58"/>
      <c r="P135" s="59"/>
    </row>
    <row r="136" spans="2:18" ht="15.75" customHeight="1" x14ac:dyDescent="0.25">
      <c r="B136" s="100" t="s">
        <v>41</v>
      </c>
      <c r="C136" s="103" t="s">
        <v>58</v>
      </c>
      <c r="D136" s="103" t="s">
        <v>95</v>
      </c>
      <c r="E136" s="106" t="s">
        <v>48</v>
      </c>
      <c r="F136" s="41" t="s">
        <v>1</v>
      </c>
      <c r="G136" s="42">
        <f t="shared" si="29"/>
        <v>8694.2092400000001</v>
      </c>
      <c r="H136" s="43">
        <f>SUM(H137:H141)</f>
        <v>501.99923999999999</v>
      </c>
      <c r="I136" s="44">
        <f t="shared" ref="I136:P136" si="54">SUM(I137:I141)</f>
        <v>0</v>
      </c>
      <c r="J136" s="44">
        <f t="shared" si="54"/>
        <v>6599.21</v>
      </c>
      <c r="K136" s="44">
        <f t="shared" si="54"/>
        <v>0</v>
      </c>
      <c r="L136" s="44">
        <f t="shared" si="54"/>
        <v>600</v>
      </c>
      <c r="M136" s="44">
        <f t="shared" si="54"/>
        <v>993</v>
      </c>
      <c r="N136" s="84">
        <f t="shared" si="54"/>
        <v>0</v>
      </c>
      <c r="O136" s="44">
        <f t="shared" ref="O136" si="55">SUM(O137:O141)</f>
        <v>0</v>
      </c>
      <c r="P136" s="45">
        <f t="shared" si="54"/>
        <v>0</v>
      </c>
    </row>
    <row r="137" spans="2:18" x14ac:dyDescent="0.25">
      <c r="B137" s="101"/>
      <c r="C137" s="104"/>
      <c r="D137" s="104"/>
      <c r="E137" s="107"/>
      <c r="F137" s="47" t="s">
        <v>2</v>
      </c>
      <c r="G137" s="48">
        <f t="shared" si="29"/>
        <v>0</v>
      </c>
      <c r="H137" s="49"/>
      <c r="I137" s="50"/>
      <c r="J137" s="50"/>
      <c r="K137" s="50"/>
      <c r="L137" s="50"/>
      <c r="M137" s="50">
        <v>0</v>
      </c>
      <c r="N137" s="85"/>
      <c r="O137" s="50"/>
      <c r="P137" s="51"/>
    </row>
    <row r="138" spans="2:18" x14ac:dyDescent="0.25">
      <c r="B138" s="101"/>
      <c r="C138" s="104"/>
      <c r="D138" s="104"/>
      <c r="E138" s="107"/>
      <c r="F138" s="47" t="s">
        <v>3</v>
      </c>
      <c r="G138" s="48">
        <f t="shared" si="29"/>
        <v>0</v>
      </c>
      <c r="H138" s="49"/>
      <c r="I138" s="50"/>
      <c r="J138" s="50"/>
      <c r="K138" s="50"/>
      <c r="L138" s="50"/>
      <c r="M138" s="50">
        <v>0</v>
      </c>
      <c r="N138" s="85"/>
      <c r="O138" s="50"/>
      <c r="P138" s="51"/>
    </row>
    <row r="139" spans="2:18" x14ac:dyDescent="0.25">
      <c r="B139" s="101"/>
      <c r="C139" s="104"/>
      <c r="D139" s="104"/>
      <c r="E139" s="107"/>
      <c r="F139" s="52" t="s">
        <v>55</v>
      </c>
      <c r="G139" s="48">
        <f t="shared" si="29"/>
        <v>5700</v>
      </c>
      <c r="H139" s="49"/>
      <c r="I139" s="50"/>
      <c r="J139" s="50">
        <v>5700</v>
      </c>
      <c r="K139" s="50"/>
      <c r="L139" s="50"/>
      <c r="M139" s="53">
        <v>0</v>
      </c>
      <c r="N139" s="85"/>
      <c r="O139" s="50"/>
      <c r="P139" s="51"/>
    </row>
    <row r="140" spans="2:18" x14ac:dyDescent="0.25">
      <c r="B140" s="101"/>
      <c r="C140" s="104"/>
      <c r="D140" s="104"/>
      <c r="E140" s="107"/>
      <c r="F140" s="47" t="s">
        <v>4</v>
      </c>
      <c r="G140" s="48">
        <f t="shared" si="29"/>
        <v>2994.2092400000001</v>
      </c>
      <c r="H140" s="49">
        <v>501.99923999999999</v>
      </c>
      <c r="I140" s="50"/>
      <c r="J140" s="50">
        <f>1149.21-250</f>
        <v>899.21</v>
      </c>
      <c r="K140" s="50"/>
      <c r="L140" s="50">
        <v>600</v>
      </c>
      <c r="M140" s="53">
        <v>993</v>
      </c>
      <c r="N140" s="85"/>
      <c r="O140" s="50"/>
      <c r="P140" s="51"/>
    </row>
    <row r="141" spans="2:18" x14ac:dyDescent="0.25">
      <c r="B141" s="102"/>
      <c r="C141" s="105"/>
      <c r="D141" s="105"/>
      <c r="E141" s="108"/>
      <c r="F141" s="55" t="s">
        <v>5</v>
      </c>
      <c r="G141" s="56">
        <f t="shared" si="29"/>
        <v>0</v>
      </c>
      <c r="H141" s="57"/>
      <c r="I141" s="58"/>
      <c r="J141" s="58"/>
      <c r="K141" s="58"/>
      <c r="L141" s="58"/>
      <c r="M141" s="58">
        <v>0</v>
      </c>
      <c r="N141" s="86"/>
      <c r="O141" s="58"/>
      <c r="P141" s="59"/>
    </row>
    <row r="142" spans="2:18" ht="15.75" customHeight="1" x14ac:dyDescent="0.25">
      <c r="B142" s="100" t="s">
        <v>42</v>
      </c>
      <c r="C142" s="103" t="s">
        <v>62</v>
      </c>
      <c r="D142" s="103">
        <v>2019</v>
      </c>
      <c r="E142" s="106" t="s">
        <v>10</v>
      </c>
      <c r="F142" s="41" t="s">
        <v>1</v>
      </c>
      <c r="G142" s="42">
        <f t="shared" si="29"/>
        <v>1405.8150000000001</v>
      </c>
      <c r="H142" s="43">
        <f>SUM(H143:H147)</f>
        <v>0</v>
      </c>
      <c r="I142" s="44">
        <f t="shared" ref="I142:P142" si="56">SUM(I143:I147)</f>
        <v>1405.8150000000001</v>
      </c>
      <c r="J142" s="44">
        <f t="shared" si="56"/>
        <v>0</v>
      </c>
      <c r="K142" s="44">
        <f t="shared" si="56"/>
        <v>0</v>
      </c>
      <c r="L142" s="44">
        <f t="shared" si="56"/>
        <v>0</v>
      </c>
      <c r="M142" s="44">
        <f t="shared" si="56"/>
        <v>0</v>
      </c>
      <c r="N142" s="84">
        <f t="shared" si="56"/>
        <v>0</v>
      </c>
      <c r="O142" s="44">
        <f t="shared" ref="O142" si="57">SUM(O143:O147)</f>
        <v>0</v>
      </c>
      <c r="P142" s="45">
        <f t="shared" si="56"/>
        <v>0</v>
      </c>
    </row>
    <row r="143" spans="2:18" x14ac:dyDescent="0.25">
      <c r="B143" s="101"/>
      <c r="C143" s="104"/>
      <c r="D143" s="104"/>
      <c r="E143" s="107"/>
      <c r="F143" s="47" t="s">
        <v>2</v>
      </c>
      <c r="G143" s="48">
        <f t="shared" si="29"/>
        <v>0</v>
      </c>
      <c r="H143" s="49"/>
      <c r="I143" s="50"/>
      <c r="J143" s="50"/>
      <c r="K143" s="50"/>
      <c r="L143" s="50"/>
      <c r="M143" s="50">
        <v>0</v>
      </c>
      <c r="N143" s="85"/>
      <c r="O143" s="50"/>
      <c r="P143" s="51"/>
    </row>
    <row r="144" spans="2:18" x14ac:dyDescent="0.25">
      <c r="B144" s="101"/>
      <c r="C144" s="104"/>
      <c r="D144" s="104"/>
      <c r="E144" s="107"/>
      <c r="F144" s="47" t="s">
        <v>3</v>
      </c>
      <c r="G144" s="48">
        <f t="shared" si="29"/>
        <v>0</v>
      </c>
      <c r="H144" s="49"/>
      <c r="I144" s="50"/>
      <c r="J144" s="50"/>
      <c r="K144" s="50"/>
      <c r="L144" s="50"/>
      <c r="M144" s="50">
        <v>0</v>
      </c>
      <c r="N144" s="85"/>
      <c r="O144" s="50"/>
      <c r="P144" s="51"/>
    </row>
    <row r="145" spans="2:16" x14ac:dyDescent="0.25">
      <c r="B145" s="101"/>
      <c r="C145" s="104"/>
      <c r="D145" s="104"/>
      <c r="E145" s="107"/>
      <c r="F145" s="52" t="s">
        <v>55</v>
      </c>
      <c r="G145" s="48">
        <f t="shared" si="29"/>
        <v>0</v>
      </c>
      <c r="H145" s="49"/>
      <c r="I145" s="50"/>
      <c r="J145" s="50"/>
      <c r="K145" s="50"/>
      <c r="L145" s="50"/>
      <c r="M145" s="53">
        <v>0</v>
      </c>
      <c r="N145" s="85"/>
      <c r="O145" s="50"/>
      <c r="P145" s="51"/>
    </row>
    <row r="146" spans="2:16" x14ac:dyDescent="0.25">
      <c r="B146" s="101"/>
      <c r="C146" s="104"/>
      <c r="D146" s="104"/>
      <c r="E146" s="107"/>
      <c r="F146" s="47" t="s">
        <v>4</v>
      </c>
      <c r="G146" s="48">
        <f t="shared" si="29"/>
        <v>1405.8150000000001</v>
      </c>
      <c r="H146" s="49"/>
      <c r="I146" s="50">
        <v>1405.8150000000001</v>
      </c>
      <c r="J146" s="50"/>
      <c r="K146" s="50"/>
      <c r="L146" s="50"/>
      <c r="M146" s="53">
        <v>0</v>
      </c>
      <c r="N146" s="85"/>
      <c r="O146" s="50"/>
      <c r="P146" s="51"/>
    </row>
    <row r="147" spans="2:16" x14ac:dyDescent="0.25">
      <c r="B147" s="102"/>
      <c r="C147" s="105"/>
      <c r="D147" s="105"/>
      <c r="E147" s="108"/>
      <c r="F147" s="55" t="s">
        <v>5</v>
      </c>
      <c r="G147" s="56">
        <f t="shared" si="29"/>
        <v>0</v>
      </c>
      <c r="H147" s="57"/>
      <c r="I147" s="58"/>
      <c r="J147" s="58"/>
      <c r="K147" s="58"/>
      <c r="L147" s="58"/>
      <c r="M147" s="58">
        <v>0</v>
      </c>
      <c r="N147" s="86"/>
      <c r="O147" s="58"/>
      <c r="P147" s="59"/>
    </row>
    <row r="148" spans="2:16" ht="15.75" customHeight="1" x14ac:dyDescent="0.25">
      <c r="B148" s="100" t="s">
        <v>43</v>
      </c>
      <c r="C148" s="103" t="s">
        <v>54</v>
      </c>
      <c r="D148" s="103" t="s">
        <v>94</v>
      </c>
      <c r="E148" s="106" t="s">
        <v>10</v>
      </c>
      <c r="F148" s="41" t="s">
        <v>1</v>
      </c>
      <c r="G148" s="42">
        <f t="shared" si="29"/>
        <v>3235</v>
      </c>
      <c r="H148" s="43">
        <f>SUM(H149:H153)</f>
        <v>0</v>
      </c>
      <c r="I148" s="44">
        <f t="shared" ref="I148:P148" si="58">SUM(I149:I153)</f>
        <v>1180</v>
      </c>
      <c r="J148" s="44">
        <f t="shared" si="58"/>
        <v>1455</v>
      </c>
      <c r="K148" s="44">
        <f t="shared" si="58"/>
        <v>0</v>
      </c>
      <c r="L148" s="44">
        <f t="shared" si="58"/>
        <v>0</v>
      </c>
      <c r="M148" s="44">
        <f t="shared" si="58"/>
        <v>0</v>
      </c>
      <c r="N148" s="84">
        <f t="shared" si="58"/>
        <v>600</v>
      </c>
      <c r="O148" s="44">
        <f t="shared" ref="O148" si="59">SUM(O149:O153)</f>
        <v>0</v>
      </c>
      <c r="P148" s="45">
        <f t="shared" si="58"/>
        <v>0</v>
      </c>
    </row>
    <row r="149" spans="2:16" x14ac:dyDescent="0.25">
      <c r="B149" s="101"/>
      <c r="C149" s="104"/>
      <c r="D149" s="104"/>
      <c r="E149" s="107"/>
      <c r="F149" s="47" t="s">
        <v>2</v>
      </c>
      <c r="G149" s="48">
        <f t="shared" si="29"/>
        <v>2608.65</v>
      </c>
      <c r="H149" s="49"/>
      <c r="I149" s="50">
        <f>292.05+292.05+292.05+292.05</f>
        <v>1168.2</v>
      </c>
      <c r="J149" s="50">
        <v>1440.45</v>
      </c>
      <c r="K149" s="50"/>
      <c r="L149" s="50"/>
      <c r="M149" s="50">
        <v>0</v>
      </c>
      <c r="N149" s="85"/>
      <c r="O149" s="50"/>
      <c r="P149" s="51"/>
    </row>
    <row r="150" spans="2:16" x14ac:dyDescent="0.25">
      <c r="B150" s="101"/>
      <c r="C150" s="104"/>
      <c r="D150" s="104"/>
      <c r="E150" s="107"/>
      <c r="F150" s="47" t="s">
        <v>3</v>
      </c>
      <c r="G150" s="48">
        <f t="shared" si="29"/>
        <v>26.35</v>
      </c>
      <c r="H150" s="49"/>
      <c r="I150" s="50">
        <f>2.95+2.95+2.95+2.95</f>
        <v>11.8</v>
      </c>
      <c r="J150" s="50">
        <v>14.55</v>
      </c>
      <c r="K150" s="50"/>
      <c r="L150" s="50"/>
      <c r="M150" s="50">
        <v>0</v>
      </c>
      <c r="N150" s="85"/>
      <c r="O150" s="50"/>
      <c r="P150" s="51"/>
    </row>
    <row r="151" spans="2:16" x14ac:dyDescent="0.25">
      <c r="B151" s="101"/>
      <c r="C151" s="104"/>
      <c r="D151" s="104"/>
      <c r="E151" s="107"/>
      <c r="F151" s="52" t="s">
        <v>55</v>
      </c>
      <c r="G151" s="48">
        <f t="shared" ref="G151:G189" si="60">SUM(H151:P151)</f>
        <v>0</v>
      </c>
      <c r="H151" s="49"/>
      <c r="I151" s="50"/>
      <c r="J151" s="50"/>
      <c r="K151" s="50"/>
      <c r="L151" s="50"/>
      <c r="M151" s="53">
        <v>0</v>
      </c>
      <c r="N151" s="85"/>
      <c r="O151" s="50"/>
      <c r="P151" s="51"/>
    </row>
    <row r="152" spans="2:16" x14ac:dyDescent="0.25">
      <c r="B152" s="101"/>
      <c r="C152" s="104"/>
      <c r="D152" s="104"/>
      <c r="E152" s="107"/>
      <c r="F152" s="47" t="s">
        <v>4</v>
      </c>
      <c r="G152" s="48">
        <f t="shared" si="60"/>
        <v>600</v>
      </c>
      <c r="H152" s="49"/>
      <c r="I152" s="50"/>
      <c r="J152" s="50"/>
      <c r="K152" s="50"/>
      <c r="L152" s="50"/>
      <c r="M152" s="53">
        <v>0</v>
      </c>
      <c r="N152" s="85">
        <v>600</v>
      </c>
      <c r="O152" s="50"/>
      <c r="P152" s="51"/>
    </row>
    <row r="153" spans="2:16" x14ac:dyDescent="0.25">
      <c r="B153" s="102"/>
      <c r="C153" s="105"/>
      <c r="D153" s="105"/>
      <c r="E153" s="108"/>
      <c r="F153" s="55" t="s">
        <v>5</v>
      </c>
      <c r="G153" s="56">
        <f t="shared" si="60"/>
        <v>0</v>
      </c>
      <c r="H153" s="57"/>
      <c r="I153" s="58"/>
      <c r="J153" s="58"/>
      <c r="K153" s="58"/>
      <c r="L153" s="58"/>
      <c r="M153" s="58">
        <v>0</v>
      </c>
      <c r="N153" s="86"/>
      <c r="O153" s="58"/>
      <c r="P153" s="59"/>
    </row>
    <row r="154" spans="2:16" ht="15.75" customHeight="1" x14ac:dyDescent="0.25">
      <c r="B154" s="100" t="s">
        <v>45</v>
      </c>
      <c r="C154" s="103" t="s">
        <v>50</v>
      </c>
      <c r="D154" s="103">
        <v>2019</v>
      </c>
      <c r="E154" s="106" t="s">
        <v>10</v>
      </c>
      <c r="F154" s="41" t="s">
        <v>1</v>
      </c>
      <c r="G154" s="42">
        <f t="shared" si="60"/>
        <v>150</v>
      </c>
      <c r="H154" s="43">
        <f>SUM(H155:H159)</f>
        <v>0</v>
      </c>
      <c r="I154" s="44">
        <f t="shared" ref="I154:P154" si="61">SUM(I155:I159)</f>
        <v>150</v>
      </c>
      <c r="J154" s="44">
        <f t="shared" si="61"/>
        <v>0</v>
      </c>
      <c r="K154" s="44">
        <f t="shared" si="61"/>
        <v>0</v>
      </c>
      <c r="L154" s="44">
        <f t="shared" si="61"/>
        <v>0</v>
      </c>
      <c r="M154" s="44">
        <f t="shared" si="61"/>
        <v>0</v>
      </c>
      <c r="N154" s="84">
        <f t="shared" si="61"/>
        <v>0</v>
      </c>
      <c r="O154" s="44">
        <f t="shared" ref="O154" si="62">SUM(O155:O159)</f>
        <v>0</v>
      </c>
      <c r="P154" s="45">
        <f t="shared" si="61"/>
        <v>0</v>
      </c>
    </row>
    <row r="155" spans="2:16" x14ac:dyDescent="0.25">
      <c r="B155" s="101"/>
      <c r="C155" s="104"/>
      <c r="D155" s="104"/>
      <c r="E155" s="107"/>
      <c r="F155" s="47" t="s">
        <v>2</v>
      </c>
      <c r="G155" s="48">
        <f t="shared" si="60"/>
        <v>148.5</v>
      </c>
      <c r="H155" s="49"/>
      <c r="I155" s="50">
        <f>150*0.99</f>
        <v>148.5</v>
      </c>
      <c r="J155" s="50"/>
      <c r="K155" s="50"/>
      <c r="L155" s="50"/>
      <c r="M155" s="50">
        <v>0</v>
      </c>
      <c r="N155" s="85"/>
      <c r="O155" s="50"/>
      <c r="P155" s="51"/>
    </row>
    <row r="156" spans="2:16" x14ac:dyDescent="0.25">
      <c r="B156" s="101"/>
      <c r="C156" s="104"/>
      <c r="D156" s="104"/>
      <c r="E156" s="107"/>
      <c r="F156" s="47" t="s">
        <v>3</v>
      </c>
      <c r="G156" s="48">
        <f t="shared" si="60"/>
        <v>1.5</v>
      </c>
      <c r="H156" s="49"/>
      <c r="I156" s="50">
        <f>150*0.01</f>
        <v>1.5</v>
      </c>
      <c r="J156" s="50"/>
      <c r="K156" s="50"/>
      <c r="L156" s="50"/>
      <c r="M156" s="50">
        <v>0</v>
      </c>
      <c r="N156" s="85"/>
      <c r="O156" s="50"/>
      <c r="P156" s="51"/>
    </row>
    <row r="157" spans="2:16" x14ac:dyDescent="0.25">
      <c r="B157" s="101"/>
      <c r="C157" s="104"/>
      <c r="D157" s="104"/>
      <c r="E157" s="107"/>
      <c r="F157" s="52" t="s">
        <v>55</v>
      </c>
      <c r="G157" s="48">
        <f t="shared" si="60"/>
        <v>0</v>
      </c>
      <c r="H157" s="49"/>
      <c r="I157" s="50"/>
      <c r="J157" s="50"/>
      <c r="K157" s="50"/>
      <c r="L157" s="50"/>
      <c r="M157" s="53">
        <v>0</v>
      </c>
      <c r="N157" s="85"/>
      <c r="O157" s="50"/>
      <c r="P157" s="51"/>
    </row>
    <row r="158" spans="2:16" x14ac:dyDescent="0.25">
      <c r="B158" s="101"/>
      <c r="C158" s="104"/>
      <c r="D158" s="104"/>
      <c r="E158" s="107"/>
      <c r="F158" s="47" t="s">
        <v>4</v>
      </c>
      <c r="G158" s="48">
        <f t="shared" si="60"/>
        <v>0</v>
      </c>
      <c r="H158" s="49"/>
      <c r="I158" s="50"/>
      <c r="J158" s="50"/>
      <c r="K158" s="50"/>
      <c r="L158" s="50"/>
      <c r="M158" s="53">
        <v>0</v>
      </c>
      <c r="N158" s="85"/>
      <c r="O158" s="50"/>
      <c r="P158" s="51"/>
    </row>
    <row r="159" spans="2:16" x14ac:dyDescent="0.25">
      <c r="B159" s="102"/>
      <c r="C159" s="105"/>
      <c r="D159" s="105"/>
      <c r="E159" s="108"/>
      <c r="F159" s="55" t="s">
        <v>5</v>
      </c>
      <c r="G159" s="56">
        <f t="shared" si="60"/>
        <v>0</v>
      </c>
      <c r="H159" s="57"/>
      <c r="I159" s="58"/>
      <c r="J159" s="58"/>
      <c r="K159" s="58"/>
      <c r="L159" s="58"/>
      <c r="M159" s="58">
        <v>0</v>
      </c>
      <c r="N159" s="86"/>
      <c r="O159" s="58"/>
      <c r="P159" s="59"/>
    </row>
    <row r="160" spans="2:16" ht="15.75" customHeight="1" x14ac:dyDescent="0.25">
      <c r="B160" s="100" t="s">
        <v>46</v>
      </c>
      <c r="C160" s="103" t="s">
        <v>56</v>
      </c>
      <c r="D160" s="103">
        <v>2020</v>
      </c>
      <c r="E160" s="106" t="s">
        <v>10</v>
      </c>
      <c r="F160" s="41" t="s">
        <v>1</v>
      </c>
      <c r="G160" s="42">
        <f t="shared" si="60"/>
        <v>2500</v>
      </c>
      <c r="H160" s="43">
        <f>SUM(H161:H165)</f>
        <v>0</v>
      </c>
      <c r="I160" s="44">
        <f t="shared" ref="I160:P160" si="63">SUM(I161:I165)</f>
        <v>0</v>
      </c>
      <c r="J160" s="44">
        <f t="shared" si="63"/>
        <v>2500</v>
      </c>
      <c r="K160" s="44">
        <f t="shared" si="63"/>
        <v>0</v>
      </c>
      <c r="L160" s="44">
        <f t="shared" si="63"/>
        <v>0</v>
      </c>
      <c r="M160" s="44">
        <f t="shared" si="63"/>
        <v>0</v>
      </c>
      <c r="N160" s="84">
        <f t="shared" si="63"/>
        <v>0</v>
      </c>
      <c r="O160" s="44">
        <f t="shared" ref="O160" si="64">SUM(O161:O165)</f>
        <v>0</v>
      </c>
      <c r="P160" s="45">
        <f t="shared" si="63"/>
        <v>0</v>
      </c>
    </row>
    <row r="161" spans="2:19" x14ac:dyDescent="0.25">
      <c r="B161" s="101"/>
      <c r="C161" s="104"/>
      <c r="D161" s="104"/>
      <c r="E161" s="107"/>
      <c r="F161" s="47" t="s">
        <v>2</v>
      </c>
      <c r="G161" s="48">
        <f t="shared" si="60"/>
        <v>0</v>
      </c>
      <c r="H161" s="49"/>
      <c r="I161" s="50"/>
      <c r="J161" s="50"/>
      <c r="K161" s="50"/>
      <c r="L161" s="50"/>
      <c r="M161" s="50">
        <v>0</v>
      </c>
      <c r="N161" s="85"/>
      <c r="O161" s="50"/>
      <c r="P161" s="51"/>
    </row>
    <row r="162" spans="2:19" x14ac:dyDescent="0.25">
      <c r="B162" s="101"/>
      <c r="C162" s="104"/>
      <c r="D162" s="104"/>
      <c r="E162" s="107"/>
      <c r="F162" s="47" t="s">
        <v>3</v>
      </c>
      <c r="G162" s="48">
        <f t="shared" si="60"/>
        <v>0</v>
      </c>
      <c r="H162" s="49"/>
      <c r="I162" s="50"/>
      <c r="J162" s="50"/>
      <c r="K162" s="50"/>
      <c r="L162" s="50"/>
      <c r="M162" s="50">
        <v>0</v>
      </c>
      <c r="N162" s="85"/>
      <c r="O162" s="50"/>
      <c r="P162" s="51"/>
    </row>
    <row r="163" spans="2:19" x14ac:dyDescent="0.25">
      <c r="B163" s="101"/>
      <c r="C163" s="104"/>
      <c r="D163" s="104"/>
      <c r="E163" s="107"/>
      <c r="F163" s="52" t="s">
        <v>55</v>
      </c>
      <c r="G163" s="48">
        <f t="shared" si="60"/>
        <v>2500</v>
      </c>
      <c r="H163" s="49"/>
      <c r="I163" s="50"/>
      <c r="J163" s="50">
        <v>2500</v>
      </c>
      <c r="K163" s="50"/>
      <c r="L163" s="50"/>
      <c r="M163" s="53">
        <v>0</v>
      </c>
      <c r="N163" s="85"/>
      <c r="O163" s="50"/>
      <c r="P163" s="51"/>
    </row>
    <row r="164" spans="2:19" x14ac:dyDescent="0.25">
      <c r="B164" s="101"/>
      <c r="C164" s="104"/>
      <c r="D164" s="104"/>
      <c r="E164" s="107"/>
      <c r="F164" s="47" t="s">
        <v>4</v>
      </c>
      <c r="G164" s="48">
        <f t="shared" si="60"/>
        <v>0</v>
      </c>
      <c r="H164" s="49"/>
      <c r="I164" s="50"/>
      <c r="J164" s="50"/>
      <c r="K164" s="50"/>
      <c r="L164" s="50"/>
      <c r="M164" s="53">
        <v>0</v>
      </c>
      <c r="N164" s="85"/>
      <c r="O164" s="50"/>
      <c r="P164" s="51"/>
    </row>
    <row r="165" spans="2:19" x14ac:dyDescent="0.25">
      <c r="B165" s="102"/>
      <c r="C165" s="105"/>
      <c r="D165" s="105"/>
      <c r="E165" s="108"/>
      <c r="F165" s="55" t="s">
        <v>5</v>
      </c>
      <c r="G165" s="56">
        <f t="shared" si="60"/>
        <v>0</v>
      </c>
      <c r="H165" s="57"/>
      <c r="I165" s="58"/>
      <c r="J165" s="58"/>
      <c r="K165" s="58"/>
      <c r="L165" s="58"/>
      <c r="M165" s="58">
        <v>0</v>
      </c>
      <c r="N165" s="86"/>
      <c r="O165" s="58"/>
      <c r="P165" s="59"/>
    </row>
    <row r="166" spans="2:19" ht="15.75" customHeight="1" x14ac:dyDescent="0.25">
      <c r="B166" s="100" t="s">
        <v>57</v>
      </c>
      <c r="C166" s="103" t="s">
        <v>92</v>
      </c>
      <c r="D166" s="103" t="s">
        <v>85</v>
      </c>
      <c r="E166" s="106" t="s">
        <v>10</v>
      </c>
      <c r="F166" s="41" t="s">
        <v>1</v>
      </c>
      <c r="G166" s="42">
        <f t="shared" si="60"/>
        <v>63286.432290000004</v>
      </c>
      <c r="H166" s="43">
        <f>SUM(H167:H171)</f>
        <v>0</v>
      </c>
      <c r="I166" s="44">
        <f t="shared" ref="I166:P166" si="65">SUM(I167:I171)</f>
        <v>0</v>
      </c>
      <c r="J166" s="44">
        <f t="shared" si="65"/>
        <v>2866.57</v>
      </c>
      <c r="K166" s="44">
        <f t="shared" si="65"/>
        <v>113.6</v>
      </c>
      <c r="L166" s="44">
        <f t="shared" si="65"/>
        <v>18897.63</v>
      </c>
      <c r="M166" s="44">
        <f t="shared" si="65"/>
        <v>9508.6322899999996</v>
      </c>
      <c r="N166" s="84">
        <f t="shared" si="65"/>
        <v>16900</v>
      </c>
      <c r="O166" s="44">
        <f t="shared" ref="O166" si="66">SUM(O167:O171)</f>
        <v>15000</v>
      </c>
      <c r="P166" s="45">
        <f t="shared" si="65"/>
        <v>0</v>
      </c>
    </row>
    <row r="167" spans="2:19" x14ac:dyDescent="0.25">
      <c r="B167" s="101"/>
      <c r="C167" s="104"/>
      <c r="D167" s="104"/>
      <c r="E167" s="107"/>
      <c r="F167" s="47" t="s">
        <v>2</v>
      </c>
      <c r="G167" s="48">
        <f t="shared" si="60"/>
        <v>0</v>
      </c>
      <c r="H167" s="49"/>
      <c r="I167" s="50"/>
      <c r="J167" s="50"/>
      <c r="K167" s="50"/>
      <c r="L167" s="50"/>
      <c r="M167" s="50">
        <v>0</v>
      </c>
      <c r="N167" s="85"/>
      <c r="O167" s="50"/>
      <c r="P167" s="51"/>
    </row>
    <row r="168" spans="2:19" x14ac:dyDescent="0.25">
      <c r="B168" s="101"/>
      <c r="C168" s="104"/>
      <c r="D168" s="104"/>
      <c r="E168" s="107"/>
      <c r="F168" s="47" t="s">
        <v>3</v>
      </c>
      <c r="G168" s="48">
        <f t="shared" si="60"/>
        <v>0</v>
      </c>
      <c r="H168" s="49"/>
      <c r="I168" s="50"/>
      <c r="J168" s="50"/>
      <c r="K168" s="50"/>
      <c r="L168" s="50"/>
      <c r="M168" s="50">
        <v>0</v>
      </c>
      <c r="N168" s="85"/>
      <c r="O168" s="50"/>
      <c r="P168" s="51"/>
    </row>
    <row r="169" spans="2:19" x14ac:dyDescent="0.25">
      <c r="B169" s="101"/>
      <c r="C169" s="104"/>
      <c r="D169" s="104"/>
      <c r="E169" s="107"/>
      <c r="F169" s="52" t="s">
        <v>55</v>
      </c>
      <c r="G169" s="48">
        <f t="shared" si="60"/>
        <v>32851.57</v>
      </c>
      <c r="H169" s="49"/>
      <c r="I169" s="50"/>
      <c r="J169" s="50">
        <f>2866.57</f>
        <v>2866.57</v>
      </c>
      <c r="K169" s="50"/>
      <c r="L169" s="50"/>
      <c r="M169" s="53">
        <v>0</v>
      </c>
      <c r="N169" s="85">
        <v>14985</v>
      </c>
      <c r="O169" s="50">
        <v>15000</v>
      </c>
      <c r="P169" s="51"/>
    </row>
    <row r="170" spans="2:19" x14ac:dyDescent="0.25">
      <c r="B170" s="101"/>
      <c r="C170" s="104"/>
      <c r="D170" s="104"/>
      <c r="E170" s="107"/>
      <c r="F170" s="47" t="s">
        <v>4</v>
      </c>
      <c r="G170" s="48">
        <f t="shared" si="60"/>
        <v>30434.862289999997</v>
      </c>
      <c r="H170" s="49"/>
      <c r="I170" s="50"/>
      <c r="J170" s="50"/>
      <c r="K170" s="50">
        <v>113.6</v>
      </c>
      <c r="L170" s="50">
        <v>18897.63</v>
      </c>
      <c r="M170" s="53">
        <f>9508.63229</f>
        <v>9508.6322899999996</v>
      </c>
      <c r="N170" s="85">
        <v>1915</v>
      </c>
      <c r="O170" s="50"/>
      <c r="P170" s="51"/>
    </row>
    <row r="171" spans="2:19" x14ac:dyDescent="0.25">
      <c r="B171" s="102"/>
      <c r="C171" s="105"/>
      <c r="D171" s="105"/>
      <c r="E171" s="108"/>
      <c r="F171" s="55" t="s">
        <v>5</v>
      </c>
      <c r="G171" s="56">
        <f t="shared" si="60"/>
        <v>0</v>
      </c>
      <c r="H171" s="57"/>
      <c r="I171" s="58"/>
      <c r="J171" s="58"/>
      <c r="K171" s="58"/>
      <c r="L171" s="58"/>
      <c r="M171" s="58">
        <v>0</v>
      </c>
      <c r="N171" s="86"/>
      <c r="O171" s="58"/>
      <c r="P171" s="59"/>
    </row>
    <row r="172" spans="2:19" ht="15.75" customHeight="1" x14ac:dyDescent="0.25">
      <c r="B172" s="100" t="s">
        <v>81</v>
      </c>
      <c r="C172" s="103" t="s">
        <v>82</v>
      </c>
      <c r="D172" s="103" t="s">
        <v>84</v>
      </c>
      <c r="E172" s="106" t="s">
        <v>10</v>
      </c>
      <c r="F172" s="41" t="s">
        <v>1</v>
      </c>
      <c r="G172" s="42">
        <f t="shared" si="60"/>
        <v>8996.3730699999996</v>
      </c>
      <c r="H172" s="43">
        <f>SUM(H173:H177)</f>
        <v>0</v>
      </c>
      <c r="I172" s="44">
        <f t="shared" ref="I172:P172" si="67">SUM(I173:I177)</f>
        <v>0</v>
      </c>
      <c r="J172" s="44">
        <f t="shared" si="67"/>
        <v>0</v>
      </c>
      <c r="K172" s="44">
        <f t="shared" si="67"/>
        <v>0</v>
      </c>
      <c r="L172" s="44">
        <f t="shared" si="67"/>
        <v>0</v>
      </c>
      <c r="M172" s="44">
        <f t="shared" si="67"/>
        <v>2688.51521</v>
      </c>
      <c r="N172" s="84">
        <f t="shared" si="67"/>
        <v>6307.8578600000001</v>
      </c>
      <c r="O172" s="44">
        <f t="shared" ref="O172" si="68">SUM(O173:O177)</f>
        <v>0</v>
      </c>
      <c r="P172" s="45">
        <f t="shared" si="67"/>
        <v>0</v>
      </c>
    </row>
    <row r="173" spans="2:19" x14ac:dyDescent="0.25">
      <c r="B173" s="101"/>
      <c r="C173" s="104"/>
      <c r="D173" s="104"/>
      <c r="E173" s="107"/>
      <c r="F173" s="47" t="s">
        <v>2</v>
      </c>
      <c r="G173" s="48">
        <f t="shared" si="60"/>
        <v>0</v>
      </c>
      <c r="H173" s="49"/>
      <c r="I173" s="50"/>
      <c r="J173" s="50"/>
      <c r="K173" s="50"/>
      <c r="L173" s="50"/>
      <c r="M173" s="50">
        <v>0</v>
      </c>
      <c r="N173" s="85"/>
      <c r="O173" s="50"/>
      <c r="P173" s="51"/>
    </row>
    <row r="174" spans="2:19" x14ac:dyDescent="0.25">
      <c r="B174" s="101"/>
      <c r="C174" s="104"/>
      <c r="D174" s="104"/>
      <c r="E174" s="107"/>
      <c r="F174" s="47" t="s">
        <v>3</v>
      </c>
      <c r="G174" s="48">
        <f t="shared" si="60"/>
        <v>0</v>
      </c>
      <c r="H174" s="49"/>
      <c r="I174" s="50"/>
      <c r="J174" s="50"/>
      <c r="K174" s="50"/>
      <c r="L174" s="50"/>
      <c r="M174" s="50">
        <v>0</v>
      </c>
      <c r="N174" s="85"/>
      <c r="O174" s="50"/>
      <c r="P174" s="51"/>
    </row>
    <row r="175" spans="2:19" x14ac:dyDescent="0.25">
      <c r="B175" s="101"/>
      <c r="C175" s="104"/>
      <c r="D175" s="104"/>
      <c r="E175" s="107"/>
      <c r="F175" s="52" t="s">
        <v>55</v>
      </c>
      <c r="G175" s="48">
        <f t="shared" si="60"/>
        <v>8986.862000000001</v>
      </c>
      <c r="H175" s="49"/>
      <c r="I175" s="50"/>
      <c r="J175" s="50"/>
      <c r="K175" s="50"/>
      <c r="L175" s="50"/>
      <c r="M175" s="53">
        <v>2685.3119999999999</v>
      </c>
      <c r="N175" s="85">
        <v>6301.55</v>
      </c>
      <c r="O175" s="50"/>
      <c r="P175" s="51"/>
      <c r="S175" s="54"/>
    </row>
    <row r="176" spans="2:19" x14ac:dyDescent="0.25">
      <c r="B176" s="101"/>
      <c r="C176" s="104"/>
      <c r="D176" s="104"/>
      <c r="E176" s="107"/>
      <c r="F176" s="47" t="s">
        <v>4</v>
      </c>
      <c r="G176" s="48">
        <f t="shared" si="60"/>
        <v>9.5110700000000001</v>
      </c>
      <c r="H176" s="49"/>
      <c r="I176" s="50"/>
      <c r="J176" s="50"/>
      <c r="K176" s="50"/>
      <c r="L176" s="50"/>
      <c r="M176" s="53">
        <v>3.2032099999999999</v>
      </c>
      <c r="N176" s="85">
        <v>6.3078599999999998</v>
      </c>
      <c r="O176" s="50"/>
      <c r="P176" s="51"/>
    </row>
    <row r="177" spans="2:19" ht="16.5" thickBot="1" x14ac:dyDescent="0.3">
      <c r="B177" s="135"/>
      <c r="C177" s="136"/>
      <c r="D177" s="136"/>
      <c r="E177" s="95"/>
      <c r="F177" s="60" t="s">
        <v>5</v>
      </c>
      <c r="G177" s="61">
        <f t="shared" si="60"/>
        <v>0</v>
      </c>
      <c r="H177" s="62"/>
      <c r="I177" s="63"/>
      <c r="J177" s="63"/>
      <c r="K177" s="63"/>
      <c r="L177" s="63"/>
      <c r="M177" s="63">
        <v>0</v>
      </c>
      <c r="N177" s="87"/>
      <c r="O177" s="63"/>
      <c r="P177" s="64"/>
    </row>
    <row r="178" spans="2:19" ht="15.75" customHeight="1" x14ac:dyDescent="0.25">
      <c r="B178" s="100" t="s">
        <v>91</v>
      </c>
      <c r="C178" s="103" t="s">
        <v>93</v>
      </c>
      <c r="D178" s="103">
        <v>2024</v>
      </c>
      <c r="E178" s="106" t="s">
        <v>10</v>
      </c>
      <c r="F178" s="41" t="s">
        <v>1</v>
      </c>
      <c r="G178" s="42">
        <f t="shared" ref="G178:G183" si="69">SUM(H178:P178)</f>
        <v>1021.02102</v>
      </c>
      <c r="H178" s="43">
        <f>SUM(H179:H183)</f>
        <v>0</v>
      </c>
      <c r="I178" s="44">
        <f t="shared" ref="I178:P178" si="70">SUM(I179:I183)</f>
        <v>0</v>
      </c>
      <c r="J178" s="44">
        <f t="shared" si="70"/>
        <v>0</v>
      </c>
      <c r="K178" s="44">
        <f t="shared" si="70"/>
        <v>0</v>
      </c>
      <c r="L178" s="44">
        <f t="shared" si="70"/>
        <v>0</v>
      </c>
      <c r="M178" s="44">
        <f t="shared" si="70"/>
        <v>0</v>
      </c>
      <c r="N178" s="84">
        <f t="shared" si="70"/>
        <v>1021.02102</v>
      </c>
      <c r="O178" s="44">
        <f t="shared" si="70"/>
        <v>0</v>
      </c>
      <c r="P178" s="45">
        <f t="shared" si="70"/>
        <v>0</v>
      </c>
    </row>
    <row r="179" spans="2:19" x14ac:dyDescent="0.25">
      <c r="B179" s="101"/>
      <c r="C179" s="104"/>
      <c r="D179" s="104"/>
      <c r="E179" s="107"/>
      <c r="F179" s="47" t="s">
        <v>2</v>
      </c>
      <c r="G179" s="48">
        <f t="shared" si="69"/>
        <v>0</v>
      </c>
      <c r="H179" s="49"/>
      <c r="I179" s="50"/>
      <c r="J179" s="50"/>
      <c r="K179" s="50"/>
      <c r="L179" s="50"/>
      <c r="M179" s="50"/>
      <c r="N179" s="85"/>
      <c r="O179" s="50"/>
      <c r="P179" s="51"/>
    </row>
    <row r="180" spans="2:19" x14ac:dyDescent="0.25">
      <c r="B180" s="101"/>
      <c r="C180" s="104"/>
      <c r="D180" s="104"/>
      <c r="E180" s="107"/>
      <c r="F180" s="47" t="s">
        <v>3</v>
      </c>
      <c r="G180" s="48">
        <f t="shared" si="69"/>
        <v>0</v>
      </c>
      <c r="H180" s="49"/>
      <c r="I180" s="50"/>
      <c r="J180" s="50"/>
      <c r="K180" s="50"/>
      <c r="L180" s="50"/>
      <c r="M180" s="50"/>
      <c r="N180" s="85"/>
      <c r="O180" s="50"/>
      <c r="P180" s="51"/>
    </row>
    <row r="181" spans="2:19" x14ac:dyDescent="0.25">
      <c r="B181" s="101"/>
      <c r="C181" s="104"/>
      <c r="D181" s="104"/>
      <c r="E181" s="107"/>
      <c r="F181" s="52" t="s">
        <v>55</v>
      </c>
      <c r="G181" s="48">
        <f t="shared" si="69"/>
        <v>1020</v>
      </c>
      <c r="H181" s="49"/>
      <c r="I181" s="50"/>
      <c r="J181" s="50"/>
      <c r="K181" s="50"/>
      <c r="L181" s="50"/>
      <c r="M181" s="53"/>
      <c r="N181" s="85">
        <v>1020</v>
      </c>
      <c r="O181" s="50"/>
      <c r="P181" s="51"/>
      <c r="S181" s="54"/>
    </row>
    <row r="182" spans="2:19" x14ac:dyDescent="0.25">
      <c r="B182" s="101"/>
      <c r="C182" s="104"/>
      <c r="D182" s="104"/>
      <c r="E182" s="107"/>
      <c r="F182" s="47" t="s">
        <v>4</v>
      </c>
      <c r="G182" s="48">
        <f t="shared" si="69"/>
        <v>1.02102</v>
      </c>
      <c r="H182" s="49"/>
      <c r="I182" s="50"/>
      <c r="J182" s="50"/>
      <c r="K182" s="50"/>
      <c r="L182" s="50"/>
      <c r="M182" s="53"/>
      <c r="N182" s="85">
        <v>1.02102</v>
      </c>
      <c r="O182" s="50"/>
      <c r="P182" s="51"/>
    </row>
    <row r="183" spans="2:19" ht="16.5" thickBot="1" x14ac:dyDescent="0.3">
      <c r="B183" s="135"/>
      <c r="C183" s="136"/>
      <c r="D183" s="136"/>
      <c r="E183" s="95"/>
      <c r="F183" s="60" t="s">
        <v>5</v>
      </c>
      <c r="G183" s="61">
        <f t="shared" si="69"/>
        <v>0</v>
      </c>
      <c r="H183" s="62"/>
      <c r="I183" s="63"/>
      <c r="J183" s="63"/>
      <c r="K183" s="63"/>
      <c r="L183" s="63"/>
      <c r="M183" s="63"/>
      <c r="N183" s="87"/>
      <c r="O183" s="63"/>
      <c r="P183" s="64"/>
    </row>
    <row r="184" spans="2:19" ht="15.75" customHeight="1" x14ac:dyDescent="0.25">
      <c r="B184" s="120"/>
      <c r="C184" s="123"/>
      <c r="D184" s="123" t="s">
        <v>87</v>
      </c>
      <c r="E184" s="126" t="s">
        <v>9</v>
      </c>
      <c r="F184" s="25" t="s">
        <v>1</v>
      </c>
      <c r="G184" s="26">
        <f t="shared" si="60"/>
        <v>1864553.3363400002</v>
      </c>
      <c r="H184" s="27">
        <f t="shared" ref="H184:N189" si="71">SUM(H112,H16)</f>
        <v>112717.48300000001</v>
      </c>
      <c r="I184" s="28">
        <f t="shared" si="71"/>
        <v>143877.99485000002</v>
      </c>
      <c r="J184" s="28">
        <f t="shared" si="71"/>
        <v>218577.76193000001</v>
      </c>
      <c r="K184" s="28">
        <f t="shared" si="71"/>
        <v>392022.58838000003</v>
      </c>
      <c r="L184" s="28">
        <f t="shared" si="71"/>
        <v>407596.19046000007</v>
      </c>
      <c r="M184" s="28">
        <f t="shared" si="71"/>
        <v>177770.80504000001</v>
      </c>
      <c r="N184" s="81">
        <f t="shared" si="71"/>
        <v>236864.92368000004</v>
      </c>
      <c r="O184" s="28">
        <f t="shared" ref="O184" si="72">SUM(O112,O16)</f>
        <v>175125.58900000001</v>
      </c>
      <c r="P184" s="29">
        <f t="shared" ref="P184:P189" si="73">SUM(P112,P16)</f>
        <v>0</v>
      </c>
    </row>
    <row r="185" spans="2:19" x14ac:dyDescent="0.25">
      <c r="B185" s="121"/>
      <c r="C185" s="124"/>
      <c r="D185" s="124"/>
      <c r="E185" s="127"/>
      <c r="F185" s="30" t="s">
        <v>2</v>
      </c>
      <c r="G185" s="31">
        <f t="shared" si="60"/>
        <v>932193.42075000005</v>
      </c>
      <c r="H185" s="32">
        <f t="shared" si="71"/>
        <v>57000</v>
      </c>
      <c r="I185" s="33">
        <f t="shared" si="71"/>
        <v>84401.142000000022</v>
      </c>
      <c r="J185" s="33">
        <f t="shared" si="71"/>
        <v>121770</v>
      </c>
      <c r="K185" s="33">
        <f t="shared" si="71"/>
        <v>241334.43806000001</v>
      </c>
      <c r="L185" s="33">
        <f t="shared" si="71"/>
        <v>268352.46828999999</v>
      </c>
      <c r="M185" s="33">
        <f t="shared" si="71"/>
        <v>105124.2</v>
      </c>
      <c r="N185" s="82">
        <f t="shared" si="71"/>
        <v>54211.172400000003</v>
      </c>
      <c r="O185" s="33">
        <f t="shared" ref="O185" si="74">SUM(O113,O17)</f>
        <v>0</v>
      </c>
      <c r="P185" s="34">
        <f t="shared" si="73"/>
        <v>0</v>
      </c>
    </row>
    <row r="186" spans="2:19" x14ac:dyDescent="0.25">
      <c r="B186" s="121"/>
      <c r="C186" s="124"/>
      <c r="D186" s="124"/>
      <c r="E186" s="127"/>
      <c r="F186" s="30" t="s">
        <v>3</v>
      </c>
      <c r="G186" s="31">
        <f t="shared" si="60"/>
        <v>50548.349010000005</v>
      </c>
      <c r="H186" s="32">
        <f t="shared" si="71"/>
        <v>3000</v>
      </c>
      <c r="I186" s="33">
        <f t="shared" si="71"/>
        <v>11239.693000000001</v>
      </c>
      <c r="J186" s="33">
        <f t="shared" si="71"/>
        <v>3083.8000099999999</v>
      </c>
      <c r="K186" s="33">
        <f t="shared" si="71"/>
        <v>17437.721600000001</v>
      </c>
      <c r="L186" s="33">
        <f t="shared" si="71"/>
        <v>5503.6310100000001</v>
      </c>
      <c r="M186" s="33">
        <f t="shared" si="71"/>
        <v>955.67455000000007</v>
      </c>
      <c r="N186" s="82">
        <f t="shared" si="71"/>
        <v>9327.8288400000001</v>
      </c>
      <c r="O186" s="33">
        <f t="shared" ref="O186" si="75">SUM(O114,O18)</f>
        <v>0</v>
      </c>
      <c r="P186" s="34">
        <f t="shared" si="73"/>
        <v>0</v>
      </c>
    </row>
    <row r="187" spans="2:19" x14ac:dyDescent="0.25">
      <c r="B187" s="121"/>
      <c r="C187" s="124"/>
      <c r="D187" s="124"/>
      <c r="E187" s="127"/>
      <c r="F187" s="35" t="s">
        <v>55</v>
      </c>
      <c r="G187" s="31">
        <f t="shared" si="60"/>
        <v>616349.00560000003</v>
      </c>
      <c r="H187" s="32">
        <f t="shared" si="71"/>
        <v>0</v>
      </c>
      <c r="I187" s="33">
        <f t="shared" si="71"/>
        <v>0</v>
      </c>
      <c r="J187" s="33">
        <f t="shared" si="71"/>
        <v>55973.88</v>
      </c>
      <c r="K187" s="33">
        <f t="shared" si="71"/>
        <v>96900.9</v>
      </c>
      <c r="L187" s="33">
        <f t="shared" si="71"/>
        <v>76368</v>
      </c>
      <c r="M187" s="33">
        <f t="shared" si="71"/>
        <v>45441.179089999998</v>
      </c>
      <c r="N187" s="82">
        <f t="shared" si="71"/>
        <v>166539.45751000001</v>
      </c>
      <c r="O187" s="33">
        <f t="shared" ref="O187" si="76">SUM(O115,O19)</f>
        <v>175125.58900000001</v>
      </c>
      <c r="P187" s="34">
        <f t="shared" si="73"/>
        <v>0</v>
      </c>
    </row>
    <row r="188" spans="2:19" x14ac:dyDescent="0.25">
      <c r="B188" s="121"/>
      <c r="C188" s="124"/>
      <c r="D188" s="124"/>
      <c r="E188" s="127"/>
      <c r="F188" s="30" t="s">
        <v>4</v>
      </c>
      <c r="G188" s="31">
        <f t="shared" si="60"/>
        <v>265462.56098000001</v>
      </c>
      <c r="H188" s="32">
        <f t="shared" si="71"/>
        <v>52717.483000000007</v>
      </c>
      <c r="I188" s="33">
        <f t="shared" si="71"/>
        <v>48237.159849999996</v>
      </c>
      <c r="J188" s="33">
        <f t="shared" si="71"/>
        <v>37750.081919999997</v>
      </c>
      <c r="K188" s="33">
        <f t="shared" si="71"/>
        <v>36349.528720000002</v>
      </c>
      <c r="L188" s="33">
        <f t="shared" si="71"/>
        <v>57372.091160000011</v>
      </c>
      <c r="M188" s="33">
        <f t="shared" si="71"/>
        <v>26249.751400000001</v>
      </c>
      <c r="N188" s="82">
        <f t="shared" si="71"/>
        <v>6786.4649300000001</v>
      </c>
      <c r="O188" s="33">
        <f t="shared" ref="O188" si="77">SUM(O116,O20)</f>
        <v>0</v>
      </c>
      <c r="P188" s="34">
        <f t="shared" si="73"/>
        <v>0</v>
      </c>
    </row>
    <row r="189" spans="2:19" ht="16.5" thickBot="1" x14ac:dyDescent="0.3">
      <c r="B189" s="132"/>
      <c r="C189" s="133"/>
      <c r="D189" s="133"/>
      <c r="E189" s="134"/>
      <c r="F189" s="67" t="s">
        <v>63</v>
      </c>
      <c r="G189" s="68">
        <f t="shared" si="60"/>
        <v>0</v>
      </c>
      <c r="H189" s="69">
        <f t="shared" si="71"/>
        <v>0</v>
      </c>
      <c r="I189" s="70">
        <f t="shared" si="71"/>
        <v>0</v>
      </c>
      <c r="J189" s="70">
        <f t="shared" si="71"/>
        <v>0</v>
      </c>
      <c r="K189" s="70">
        <f t="shared" si="71"/>
        <v>0</v>
      </c>
      <c r="L189" s="70">
        <f t="shared" si="71"/>
        <v>0</v>
      </c>
      <c r="M189" s="70">
        <f t="shared" si="71"/>
        <v>0</v>
      </c>
      <c r="N189" s="88">
        <f t="shared" si="71"/>
        <v>0</v>
      </c>
      <c r="O189" s="70">
        <f t="shared" ref="O189" si="78">SUM(O117,O21)</f>
        <v>0</v>
      </c>
      <c r="P189" s="71">
        <f t="shared" si="73"/>
        <v>0</v>
      </c>
    </row>
    <row r="191" spans="2:19" x14ac:dyDescent="0.25">
      <c r="K191" s="72"/>
      <c r="M191" s="72"/>
      <c r="N191" s="89"/>
      <c r="O191" s="72"/>
    </row>
    <row r="193" spans="8:8" x14ac:dyDescent="0.25">
      <c r="H193" s="73"/>
    </row>
  </sheetData>
  <mergeCells count="131">
    <mergeCell ref="B178:B183"/>
    <mergeCell ref="C178:C183"/>
    <mergeCell ref="D178:D183"/>
    <mergeCell ref="E178:E183"/>
    <mergeCell ref="D148:D153"/>
    <mergeCell ref="E148:E153"/>
    <mergeCell ref="B142:B147"/>
    <mergeCell ref="C142:C147"/>
    <mergeCell ref="D142:D147"/>
    <mergeCell ref="E142:E147"/>
    <mergeCell ref="B166:B171"/>
    <mergeCell ref="C166:C171"/>
    <mergeCell ref="D166:D171"/>
    <mergeCell ref="E166:E171"/>
    <mergeCell ref="B160:B165"/>
    <mergeCell ref="C160:C165"/>
    <mergeCell ref="D160:D165"/>
    <mergeCell ref="E160:E165"/>
    <mergeCell ref="B154:B159"/>
    <mergeCell ref="C154:C159"/>
    <mergeCell ref="D154:D159"/>
    <mergeCell ref="E154:E159"/>
    <mergeCell ref="B100:B105"/>
    <mergeCell ref="C100:C105"/>
    <mergeCell ref="D100:D105"/>
    <mergeCell ref="E100:E105"/>
    <mergeCell ref="B136:B141"/>
    <mergeCell ref="C136:C141"/>
    <mergeCell ref="D136:D141"/>
    <mergeCell ref="E136:E141"/>
    <mergeCell ref="B124:B129"/>
    <mergeCell ref="C124:C129"/>
    <mergeCell ref="D124:D129"/>
    <mergeCell ref="E124:E129"/>
    <mergeCell ref="B130:B135"/>
    <mergeCell ref="C130:C135"/>
    <mergeCell ref="D130:D135"/>
    <mergeCell ref="E130:E135"/>
    <mergeCell ref="B118:B123"/>
    <mergeCell ref="C118:C123"/>
    <mergeCell ref="B106:B111"/>
    <mergeCell ref="C106:C111"/>
    <mergeCell ref="D106:D111"/>
    <mergeCell ref="E106:E111"/>
    <mergeCell ref="D118:D123"/>
    <mergeCell ref="E118:E123"/>
    <mergeCell ref="B88:B93"/>
    <mergeCell ref="C88:C93"/>
    <mergeCell ref="D88:D93"/>
    <mergeCell ref="E88:E93"/>
    <mergeCell ref="B94:B99"/>
    <mergeCell ref="C94:C99"/>
    <mergeCell ref="B76:B81"/>
    <mergeCell ref="C76:C81"/>
    <mergeCell ref="D76:D81"/>
    <mergeCell ref="E76:E81"/>
    <mergeCell ref="B184:B189"/>
    <mergeCell ref="C184:C189"/>
    <mergeCell ref="D184:D189"/>
    <mergeCell ref="E184:E189"/>
    <mergeCell ref="B172:B177"/>
    <mergeCell ref="C172:C177"/>
    <mergeCell ref="D172:D177"/>
    <mergeCell ref="E172:E177"/>
    <mergeCell ref="C58:C63"/>
    <mergeCell ref="D58:D63"/>
    <mergeCell ref="E58:E63"/>
    <mergeCell ref="B64:B69"/>
    <mergeCell ref="C64:C69"/>
    <mergeCell ref="D64:D69"/>
    <mergeCell ref="E64:E69"/>
    <mergeCell ref="B70:B75"/>
    <mergeCell ref="C70:C75"/>
    <mergeCell ref="D70:D75"/>
    <mergeCell ref="E70:E75"/>
    <mergeCell ref="D94:D99"/>
    <mergeCell ref="E94:E99"/>
    <mergeCell ref="B82:B87"/>
    <mergeCell ref="C82:C87"/>
    <mergeCell ref="D82:D87"/>
    <mergeCell ref="B40:B45"/>
    <mergeCell ref="C40:C45"/>
    <mergeCell ref="D40:D45"/>
    <mergeCell ref="E40:E45"/>
    <mergeCell ref="B46:B51"/>
    <mergeCell ref="C46:C51"/>
    <mergeCell ref="D52:D57"/>
    <mergeCell ref="E52:E57"/>
    <mergeCell ref="B58:B63"/>
    <mergeCell ref="B52:B57"/>
    <mergeCell ref="C52:C57"/>
    <mergeCell ref="B112:B117"/>
    <mergeCell ref="C112:C117"/>
    <mergeCell ref="D112:D117"/>
    <mergeCell ref="E112:E117"/>
    <mergeCell ref="B148:B153"/>
    <mergeCell ref="C148:C153"/>
    <mergeCell ref="B10:B14"/>
    <mergeCell ref="D10:D14"/>
    <mergeCell ref="E10:E14"/>
    <mergeCell ref="D22:D27"/>
    <mergeCell ref="E22:E27"/>
    <mergeCell ref="D46:D51"/>
    <mergeCell ref="E46:E51"/>
    <mergeCell ref="E82:E87"/>
    <mergeCell ref="C34:C39"/>
    <mergeCell ref="D34:D39"/>
    <mergeCell ref="E34:E39"/>
    <mergeCell ref="B34:B39"/>
    <mergeCell ref="B16:B21"/>
    <mergeCell ref="C16:C21"/>
    <mergeCell ref="D16:D21"/>
    <mergeCell ref="E16:E21"/>
    <mergeCell ref="B22:B27"/>
    <mergeCell ref="C22:C27"/>
    <mergeCell ref="C10:C14"/>
    <mergeCell ref="E7:E8"/>
    <mergeCell ref="F7:F8"/>
    <mergeCell ref="G7:G8"/>
    <mergeCell ref="B28:B33"/>
    <mergeCell ref="C28:C33"/>
    <mergeCell ref="D28:D33"/>
    <mergeCell ref="E28:E33"/>
    <mergeCell ref="H1:P1"/>
    <mergeCell ref="H7:P7"/>
    <mergeCell ref="H3:P3"/>
    <mergeCell ref="B5:P5"/>
    <mergeCell ref="B7:B8"/>
    <mergeCell ref="C7:C8"/>
    <mergeCell ref="D7:D8"/>
    <mergeCell ref="B15:E15"/>
  </mergeCells>
  <phoneticPr fontId="10" type="noConversion"/>
  <printOptions horizontalCentered="1"/>
  <pageMargins left="0.39370078740157483" right="0.39370078740157483" top="0.78740157480314965" bottom="0.39370078740157483" header="0" footer="0"/>
  <pageSetup paperSize="9" scale="57" fitToHeight="0" orientation="landscape" r:id="rId1"/>
  <rowBreaks count="2" manualBreakCount="2">
    <brk id="93" min="1" max="15" man="1"/>
    <brk id="141" min="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2019 - 2022</vt:lpstr>
      <vt:lpstr>'2019 - 2022'!Заголовки_для_печати</vt:lpstr>
      <vt:lpstr>'2019 - 2022'!Область_печати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2024-11-13T08:35:21Z</dcterms:modified>
</cp:coreProperties>
</file>